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240" yWindow="420" windowWidth="14988" windowHeight="8256" tabRatio="794" firstSheet="10" activeTab="15"/>
  </bookViews>
  <sheets>
    <sheet name="№1 ист. дефицита" sheetId="129" r:id="rId1"/>
    <sheet name="№2 ист. по кодам " sheetId="149" r:id="rId2"/>
    <sheet name="№3 ист. по кодам групп" sheetId="150" r:id="rId3"/>
    <sheet name="№ 4 дох." sheetId="151" r:id="rId4"/>
    <sheet name="№ 5 дох. по кодам" sheetId="152" r:id="rId5"/>
    <sheet name="№ 6 дох. по кодам видов" sheetId="153" r:id="rId6"/>
    <sheet name="№7 Р.П" sheetId="2" r:id="rId7"/>
    <sheet name="№8 ведом." sheetId="107" r:id="rId8"/>
    <sheet name="№9 р,ц,в" sheetId="108" r:id="rId9"/>
    <sheet name="№10 МП" sheetId="110" r:id="rId10"/>
    <sheet name="№11 МП, цел." sheetId="109" r:id="rId11"/>
    <sheet name="№12 безвозмезд." sheetId="131" r:id="rId12"/>
    <sheet name="№ 13 ПО" sheetId="140" r:id="rId13"/>
    <sheet name="№14 АИП" sheetId="141" r:id="rId14"/>
    <sheet name="№15 депут." sheetId="142" r:id="rId15"/>
    <sheet name="№16 заимст." sheetId="143" r:id="rId16"/>
  </sheets>
  <definedNames>
    <definedName name="_xlnm.Print_Area" localSheetId="0">'№1 ист. дефицита'!$A$1:$D$21</definedName>
  </definedNames>
  <calcPr calcId="124519"/>
</workbook>
</file>

<file path=xl/sharedStrings.xml><?xml version="1.0" encoding="utf-8"?>
<sst xmlns="http://schemas.openxmlformats.org/spreadsheetml/2006/main" count="5294" uniqueCount="1139">
  <si>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</si>
  <si>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</si>
  <si>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</si>
  <si>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</si>
  <si>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</si>
  <si>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</si>
  <si>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</si>
  <si>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</si>
  <si>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</si>
  <si>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</si>
  <si>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</si>
  <si>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</si>
  <si>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</si>
  <si>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</si>
  <si>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</si>
  <si>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</si>
  <si>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</si>
  <si>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</si>
  <si>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</si>
  <si>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</si>
  <si>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</si>
  <si>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</si>
  <si>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</si>
  <si>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</si>
  <si>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</si>
  <si>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</si>
  <si>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</si>
  <si>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</si>
  <si>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</si>
  <si>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0309</t>
  </si>
  <si>
    <t>0412</t>
  </si>
  <si>
    <t>0502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</si>
  <si>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</si>
  <si>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</si>
  <si>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</si>
  <si>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</si>
  <si>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</si>
  <si>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</si>
  <si>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</si>
  <si>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</si>
  <si>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</si>
  <si>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</si>
  <si>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</si>
  <si>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</si>
  <si>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</si>
  <si>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</si>
  <si>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</si>
  <si>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1300</t>
  </si>
  <si>
    <t>Обслуживание государственного внутреннего и муниципального долга</t>
  </si>
  <si>
    <t>1201</t>
  </si>
  <si>
    <t>Управление финансов администрации муниципального образования город Торжок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</si>
  <si>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</si>
  <si>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</si>
  <si>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</si>
  <si>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</si>
  <si>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</si>
  <si>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</si>
  <si>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</si>
  <si>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</si>
  <si>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</si>
  <si>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</si>
  <si>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</si>
  <si>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</si>
  <si>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Расходы по центральному аппарату на выполнение  полномочий муниципального образования, за исключением переданных государственных полномочий Российской Федерации и Тверской области</t>
  </si>
  <si>
    <t>Расходы по центральному аппарату на выполнение   переданных муниципальному образованию государственных полномочий Российской Федерации и Тверской области</t>
  </si>
  <si>
    <t>0304</t>
  </si>
  <si>
    <t>Органы юстиции</t>
  </si>
  <si>
    <t>2</t>
  </si>
  <si>
    <t>3</t>
  </si>
  <si>
    <t>4</t>
  </si>
  <si>
    <t>5</t>
  </si>
  <si>
    <t>6</t>
  </si>
  <si>
    <t>9</t>
  </si>
  <si>
    <t>10</t>
  </si>
  <si>
    <t xml:space="preserve">Культура,  кинематография </t>
  </si>
  <si>
    <t>0616104</t>
  </si>
  <si>
    <t>0526102</t>
  </si>
  <si>
    <t>0226101</t>
  </si>
  <si>
    <t>администрация муниципального образования город Торжок</t>
  </si>
  <si>
    <t>Муниципальная программа муниципального образования город Торжок  «Развитие образования  города Торжка» на 2014  - 2019 годы</t>
  </si>
  <si>
    <t>Подпрограмма "Модернизация дошкольного и общего образования, как института социального развития"</t>
  </si>
  <si>
    <t>0100000</t>
  </si>
  <si>
    <t>0110000</t>
  </si>
  <si>
    <t>0112101</t>
  </si>
  <si>
    <t>Предоставление общедоступного и бесплатного  дошкольного образования  в муниципальных бюджетных дошкольных  образовательных учреждениях</t>
  </si>
  <si>
    <t>0117601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</si>
  <si>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</si>
  <si>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</si>
  <si>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 xml:space="preserve">Проведение ремонта зданий и помещений  муниципальных бюджетных дошкольных образовательных учреждений </t>
  </si>
  <si>
    <t xml:space="preserve">Подготовка к новому учебному году муниципальных бюджетных дошкольных образовательных учреждений </t>
  </si>
  <si>
    <t>0112102</t>
  </si>
  <si>
    <t>Предоставление общедоступного и бесплатного  начального общего, основного общего, среднего (полного) общего образования   в муниципальных бюджетных общеобразовательных учреждениях</t>
  </si>
  <si>
    <t>0112103</t>
  </si>
  <si>
    <t>Предоставление дополнительного образования   детям в муниципальных бюджетных образовательных учреждениях</t>
  </si>
  <si>
    <t>0112104</t>
  </si>
  <si>
    <t>Предоставление дополнительного образования  спортивной направленности  детям в муниципальных бюджетных образовательных учреждениях</t>
  </si>
  <si>
    <t xml:space="preserve">Проведение ремонта зданий и помещений  муниципальных бюджетных общеобразовательных учреждений </t>
  </si>
  <si>
    <t xml:space="preserve">Подготовка к новому учебному году муниципальных бюджетных общеобразовательных  учреждений </t>
  </si>
  <si>
    <t>Обеспечение комплексной безопасности зданий и помещений муниципальных бюджетных дошкольных образовательных учреждений</t>
  </si>
  <si>
    <t>Обеспечение комплексной безопасности зданий и помещений муниципальных бюджетных общеобразовательных учреждений</t>
  </si>
  <si>
    <t>0112207</t>
  </si>
  <si>
    <t>Организация обеспечения учащихся начальных классов муниципальных общеобразовательных учреждений города Торжка горячим питанием</t>
  </si>
  <si>
    <t>0190000</t>
  </si>
  <si>
    <t>0199120</t>
  </si>
  <si>
    <t>0199001</t>
  </si>
  <si>
    <t>Расходы на финансовое обеспечение деятельности муниципального казенного учреждения города Торжка "Централизованная бухгалтерия"</t>
  </si>
  <si>
    <t>0199002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</si>
  <si>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учащихся, обучающихся по очной форме обучения в муниципальных общеобразовательных учреждениях города</t>
  </si>
  <si>
    <t>1004</t>
  </si>
  <si>
    <t>Охрана семьи и детства</t>
  </si>
  <si>
    <t>0117501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</si>
  <si>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</si>
  <si>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0117602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</si>
  <si>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</si>
  <si>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"Организация бюджетного процесса"</t>
  </si>
  <si>
    <t>Мероприятия, связанные с организацией и использованием канала связи в целях осуществления электронного документооборота</t>
  </si>
  <si>
    <t>Средства на реализацию мероприятий по обращениям, поступающим к депутатам Торжокской городской Думы</t>
  </si>
  <si>
    <t>1301</t>
  </si>
  <si>
    <t>Подпрограмма "Обеспечение сбалансированности и финансовой устойчивости бюджета муниципального образования город Торжок"</t>
  </si>
  <si>
    <t>1020000</t>
  </si>
  <si>
    <t>1021001</t>
  </si>
  <si>
    <t>Обслуживание муниципального долга</t>
  </si>
  <si>
    <t>Обслуживание государственного (муниципального) долга</t>
  </si>
  <si>
    <t>08</t>
  </si>
  <si>
    <t>0120000</t>
  </si>
  <si>
    <t>Подпрограмма  "Создание условий для вовлечения молодежи города Торжка в общественно-политическую, социально-экономическую  и культурную жизнь общества"</t>
  </si>
  <si>
    <t>0121001</t>
  </si>
  <si>
    <t>Поддержка способной инициативной и талантливой молодежи</t>
  </si>
  <si>
    <t>0121002</t>
  </si>
  <si>
    <t>Проведение смотра-конкурса на лучшее студенческое общежитие города Торжка</t>
  </si>
  <si>
    <t>0121003</t>
  </si>
  <si>
    <t>Участие в региональных мероприятиях в сфере молодежной политики</t>
  </si>
  <si>
    <t>Предоставление услуг в сфере социальной помощи молодежи</t>
  </si>
  <si>
    <t xml:space="preserve">Организация трудовых отрядов несовершеннолетних в возрасте от 14 до 18 лет в свободное от учебы время </t>
  </si>
  <si>
    <t>Проведение городского молодежного туристического слета</t>
  </si>
  <si>
    <t>Содействие в материально-техническом оснащении и ремонте подростковых клубов</t>
  </si>
  <si>
    <t>Развитие и повышение эффективности функционирования муниципальной системы профилактики безнадзорности и правонарушений несовершеннолетних</t>
  </si>
  <si>
    <t>0122101</t>
  </si>
  <si>
    <t>0122201</t>
  </si>
  <si>
    <t>0122202</t>
  </si>
  <si>
    <t>0122203</t>
  </si>
  <si>
    <t>0122204</t>
  </si>
  <si>
    <t>Муниципальная программа муниципального образования город Торжок «Развитие физической культуры и спорта города Торжка» на  2014  - 2019 годы</t>
  </si>
  <si>
    <t>0300000</t>
  </si>
  <si>
    <t>Подпрограмма "Массовая физкультурно-оздоровительная и спортивная работа"</t>
  </si>
  <si>
    <t>0310000</t>
  </si>
  <si>
    <t>Предоставление дополнительного образования спортивной направленности детям  в специализированной детско-юношеской спортивной школе олимпийского резерва</t>
  </si>
  <si>
    <t>0312102</t>
  </si>
  <si>
    <t>1102</t>
  </si>
  <si>
    <t>Организация проведения спортивно-массовых мероприятий и соревнований</t>
  </si>
  <si>
    <t xml:space="preserve">Создание условий для занятий физической культурой и спортом населения в муниципальном  физкультурно-оздоровительном комплексе </t>
  </si>
  <si>
    <t>Субсидии на иные цели муниципальному физкультурно-оздоровительному комплексу на поддержку в организации занятий льготных категорий граждан</t>
  </si>
  <si>
    <t>0311001</t>
  </si>
  <si>
    <t>0312101</t>
  </si>
  <si>
    <t>0312202</t>
  </si>
  <si>
    <t>1105</t>
  </si>
  <si>
    <t>0390000</t>
  </si>
  <si>
    <t>0399120</t>
  </si>
  <si>
    <t>05</t>
  </si>
  <si>
    <t>0900000</t>
  </si>
  <si>
    <t>Муниципальная программа муниципального образования город Торжок  «Управление имуществом и земельными ресурсами муниципального образования» на  2014 - 2019 годы</t>
  </si>
  <si>
    <t>0910000</t>
  </si>
  <si>
    <t>Подпрограмма "Управление муниципальным имуществом и земельными ресурсами муниципального образования город Торжок"</t>
  </si>
  <si>
    <t>0911010</t>
  </si>
  <si>
    <t>Содержание имущества казны муниципального образования город Торжок</t>
  </si>
  <si>
    <t>0911020</t>
  </si>
  <si>
    <t>Оценка недвижимости, признание прав и регулирование отношений по  муниципальной собственности</t>
  </si>
  <si>
    <t>Исполнение судебных актов</t>
  </si>
  <si>
    <t>0911030</t>
  </si>
  <si>
    <t>0990000</t>
  </si>
  <si>
    <t>0999120</t>
  </si>
  <si>
    <t>Формирование земельных участков, находящихся в ведении муниципального образования город Торжок</t>
  </si>
  <si>
    <t>0911040</t>
  </si>
  <si>
    <t>Муниципальная программа муниципального образования город Торжок  «Обеспечение доступным жильем населения города Торжка и развитие жилищного строительства»  на  2014  - 2019 годы</t>
  </si>
  <si>
    <t>Подпрограмма "Обеспечение жильем детей-сирот и детей, оставшихся без попечения родителей"</t>
  </si>
  <si>
    <t>0400000</t>
  </si>
  <si>
    <t>0430000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</si>
  <si>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</si>
  <si>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0435082</t>
  </si>
  <si>
    <t>0200000</t>
  </si>
  <si>
    <t>Муниципальная программа муниципального образования город Торжок «Развитие культуры города Торжка» на  2014  - 2019 годы</t>
  </si>
  <si>
    <t>0210000</t>
  </si>
  <si>
    <t>Подпрограмма "Сохранение и развитие культурного потенциала муниципального образования город Торжок"</t>
  </si>
  <si>
    <t>Информационное обеспечение развития сферы культуры в городе Торжке</t>
  </si>
  <si>
    <t>Участие в международных, всероссийских, региональных мероприятиях</t>
  </si>
  <si>
    <t>Организация и проведение культурно-массовых  праздничных мероприятий в городе Торжке</t>
  </si>
  <si>
    <t>0211001</t>
  </si>
  <si>
    <t>0211002</t>
  </si>
  <si>
    <t>0211003</t>
  </si>
  <si>
    <t>0211004</t>
  </si>
  <si>
    <t>Комплектование библиотечного фонда муниципального казенного учреждения культуры города Торжка "ЦБС"</t>
  </si>
  <si>
    <t>Организации досуга и обеспечение жителей города услугами организаций культуры</t>
  </si>
  <si>
    <t>0212101</t>
  </si>
  <si>
    <t>Проведение городских культурно-массовых   мероприятий бюджетным учреждением в сфере  предоставления услуг дополнительного образования детей в области культуры</t>
  </si>
  <si>
    <t>0212203</t>
  </si>
  <si>
    <t>0212310</t>
  </si>
  <si>
    <t xml:space="preserve">Организация библиотечного обслуживания населения </t>
  </si>
  <si>
    <t>Расходы на финансовое обеспечение деятельности отделов Управления образования администрации города Торжка Тверской области</t>
  </si>
  <si>
    <t>Подпрограмма "Повышение привлекательности города Торжка как культурно-исторического центра"</t>
  </si>
  <si>
    <t>0220000</t>
  </si>
  <si>
    <t>Капитальные вложения в объекты недвижимого имущества государственной (муниципальной) собственности</t>
  </si>
  <si>
    <t>0860000</t>
  </si>
  <si>
    <t>Подпрограмма "Социальная поддержка населения города Торжка"</t>
  </si>
  <si>
    <t>0868001</t>
  </si>
  <si>
    <t>Оказание адресной социальной помощи гражданам города Торжка, находящимся в трудной жизненной ситуации</t>
  </si>
  <si>
    <t>0861001</t>
  </si>
  <si>
    <t>Оказание единовременной материальной помощи социально-уязвимым категориям населения - пенсионерам</t>
  </si>
  <si>
    <t>0861002</t>
  </si>
  <si>
    <t>Предоставление проездных билетов на проезд  в городском общественном транспорте отдельным категориям медицинских работников</t>
  </si>
  <si>
    <t>Оказание поддержки гражданам, страдающим социально значимыми заболеваниями</t>
  </si>
  <si>
    <t>0861003</t>
  </si>
  <si>
    <t>0861004</t>
  </si>
  <si>
    <t>0868002</t>
  </si>
  <si>
    <t>Обеспечение мер социальной поддержки для лиц, удостоенных  звания "Почетный гражданин города Торжка"</t>
  </si>
  <si>
    <t>0850000</t>
  </si>
  <si>
    <t>Подпрограмма "Поддержка общественного сектора и обеспечение информационной открытости органов местного самоуправления муниципального образования город Торжок"</t>
  </si>
  <si>
    <t>0854002</t>
  </si>
  <si>
    <t>Содействие социально ориентированным  некоммерческим организациям в реализации ими целевых социальных проектов</t>
  </si>
  <si>
    <t>Проведение конкурсов по итогам года "Лучший по профессии" и "Новотор года"</t>
  </si>
  <si>
    <t>0851002</t>
  </si>
  <si>
    <t>0811001</t>
  </si>
  <si>
    <t>Организационное обеспечение проведения мероприятий с участием Главы города</t>
  </si>
  <si>
    <t>0820000</t>
  </si>
  <si>
    <t>Подпрограмма "Обеспечение развития инвестиционного потенциала муниципального образования город Торжок и совершенствование системы программно-целевого планирования и прогнозирования социально-экономического развития муниципального образования город Торжок"</t>
  </si>
  <si>
    <t>Представление муниципального образования город Торжок в работе Ассоциации "Совет муниципальных образований Тверской области"</t>
  </si>
  <si>
    <t>0821001</t>
  </si>
  <si>
    <t>Расходы на предоставление статистической информации территориальным органом Федеральной службы государственной статистики по Тверской области</t>
  </si>
  <si>
    <t>0821002</t>
  </si>
  <si>
    <t>0830000</t>
  </si>
  <si>
    <t>Подпрограмма "Повышение правопорядка и общественной безопасности в городе Торжке"</t>
  </si>
  <si>
    <t>0831001</t>
  </si>
  <si>
    <t>Поощрение народных дружин за активное участие в охране общественного порядка"</t>
  </si>
  <si>
    <t>0840000</t>
  </si>
  <si>
    <t>Подпрограмма "Снижение рисков и смягчение последствий чрезвычайных ситуаций на территории города Торжка"</t>
  </si>
  <si>
    <t xml:space="preserve">Предоставление муниципальных услуг  в сфере защиты населения и территорий от чрезвычайных ситуаций </t>
  </si>
  <si>
    <t>0842101</t>
  </si>
  <si>
    <t>0600000</t>
  </si>
  <si>
    <t>Муниципальная программа муниципального образования город Торжок  «Дорожное хозяйство   и общественный транспорт    города Торжка на 2014 -2019 годы"</t>
  </si>
  <si>
    <t>0610000</t>
  </si>
  <si>
    <t>Подпрограмма "Сохранение и улучшение транспортно-эксплуатационного состояния улично-дорожной сети города Торжка"</t>
  </si>
  <si>
    <t>0611001</t>
  </si>
  <si>
    <t xml:space="preserve">Содержание автомобильных дорог общего пользования местного значения города Торжка и сооружений на них, нацеленное на обеспечение их проезжаемости и безопасности </t>
  </si>
  <si>
    <t>0700000</t>
  </si>
  <si>
    <t>Муниципальная программа муниципального образования город Торжок «Развитие малого  и среднего  предпринимательства в городе Торжке» на 2014 -2019 годы</t>
  </si>
  <si>
    <t>Подпрограмма "Содействие развитию субъектов малого и среднего предпринимательства в городе Торжке"</t>
  </si>
  <si>
    <t>0710000</t>
  </si>
  <si>
    <t>Содействие развитию Делового информационно-образовательного центра города Торжка</t>
  </si>
  <si>
    <t>0711001</t>
  </si>
  <si>
    <t>Организация и проведение ежегодного смотра-конкурса "Лучшее новогоднее оформление предприятий потребительского рынка"</t>
  </si>
  <si>
    <t>0711002</t>
  </si>
  <si>
    <t>0720000</t>
  </si>
  <si>
    <t>Подпрограмма "Развитие туристской привлекательности города Торжка"</t>
  </si>
  <si>
    <t>0721001</t>
  </si>
  <si>
    <t>Проведение мероприятий, направленных на привлечение туристского потока в город Торжок</t>
  </si>
  <si>
    <t>Участие муниципального образования в российских выставочно-конгрессных мероприятиях в сфере туризма</t>
  </si>
  <si>
    <t>0721002</t>
  </si>
  <si>
    <t>Организация предпрофильной подготовки по основам предпринимательства и малого бизнеса среди молодежи города Торжка и информационно-пропагандистической  деятельности, направленной на решение проблемных вопросов  предпринимательства в сфере предоставления социальной помощи молодежи</t>
  </si>
  <si>
    <t>0712201</t>
  </si>
  <si>
    <t>Подпрограмма "Содействие в обеспечении жильем молодых семей"</t>
  </si>
  <si>
    <t>0420000</t>
  </si>
  <si>
    <t>0421001</t>
  </si>
  <si>
    <t>Предоставление социальных выплат молодым семьям на улучшение жилищных условий</t>
  </si>
  <si>
    <t>Муниципальная программа муниципального образования город Торжок  «Жилищно-коммунальное хозяйство города Торжка на  2014  - 2019 годы"</t>
  </si>
  <si>
    <t>Подпрограмма "Улучшение жилищных условий граждан города Торжка, проживающих в домах, признанных аварийными, за счет нового строительства"</t>
  </si>
  <si>
    <t>Участие в долевом строительстве многоквартирных домов с количеством этажей не более трех с целью переселения граждан из аварийного жилищного фонда</t>
  </si>
  <si>
    <t>0410000</t>
  </si>
  <si>
    <t>0500000</t>
  </si>
  <si>
    <t>0520000</t>
  </si>
  <si>
    <t>Подпрограмма "Повышение надежности и эффективности функционирования объектов коммунального хозяйства города Торжка"</t>
  </si>
  <si>
    <t>Обеспечение инженерной инфраструктурой земельных участков под жилищную застройку в микрорайоне "Южный"</t>
  </si>
  <si>
    <t>0530000</t>
  </si>
  <si>
    <t>Подпрограмма "Развитие газификации муниципального образования город Торжок"</t>
  </si>
  <si>
    <t>0540000</t>
  </si>
  <si>
    <t>Подпрограмма "Организация благоустройства территории муниципального образования город Торжок"</t>
  </si>
  <si>
    <t>0541001</t>
  </si>
  <si>
    <t>Уличное освещение</t>
  </si>
  <si>
    <t>0541003</t>
  </si>
  <si>
    <t>Проведение мероприятий по озеленению улиц города</t>
  </si>
  <si>
    <t>0541004</t>
  </si>
  <si>
    <t>Проведение мероприятий  по содержанию мест захоронений</t>
  </si>
  <si>
    <t>0541006</t>
  </si>
  <si>
    <t>Ликвидация несанкционированных свалок на территории муниципального образования город Торжок</t>
  </si>
  <si>
    <t>0212102</t>
  </si>
  <si>
    <t>Предоставление дополнительного образования детей в области культуры</t>
  </si>
  <si>
    <t>ПП</t>
  </si>
  <si>
    <t>МП</t>
  </si>
  <si>
    <t>01</t>
  </si>
  <si>
    <t>02</t>
  </si>
  <si>
    <t>03</t>
  </si>
  <si>
    <t>04</t>
  </si>
  <si>
    <t>06</t>
  </si>
  <si>
    <t>07</t>
  </si>
  <si>
    <t>09</t>
  </si>
  <si>
    <t>Подпрограмма "Обеспечение прозрачности и открытости  бюджетного процесса"</t>
  </si>
  <si>
    <t>Расходы, не включенные в муниципальные программы муниципального образования город Торжок</t>
  </si>
  <si>
    <t>99</t>
  </si>
  <si>
    <t>1010000</t>
  </si>
  <si>
    <t>9900000</t>
  </si>
  <si>
    <t>9990000</t>
  </si>
  <si>
    <t>Приобретение жилых помещений для детей-сирот и детей, оставшихся без попечения родителей, лиц из их числа по договорам найма специализированных жилых помещений за счет средств областного бюджета</t>
  </si>
  <si>
    <t>0437511</t>
  </si>
  <si>
    <t>9999420</t>
  </si>
  <si>
    <t>9911000</t>
  </si>
  <si>
    <t>1011001</t>
  </si>
  <si>
    <t>Реализация отдельных мероприятий по автоматизации бюджетного процесса, включая управление закупками и информационно-правовое обеспечение бюджетного процесса</t>
  </si>
  <si>
    <t>0897541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</si>
  <si>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</si>
  <si>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1030000</t>
  </si>
  <si>
    <t>1031001</t>
  </si>
  <si>
    <t>Мероприятия, связанные с организацией и использованияем канала связи в целях осуществления электронного документооборота</t>
  </si>
  <si>
    <t>0899110</t>
  </si>
  <si>
    <t>0899120</t>
  </si>
  <si>
    <t xml:space="preserve">Создание памятника Преподобному Ефрему Новоторжскому </t>
  </si>
  <si>
    <t>0419623</t>
  </si>
  <si>
    <t>1099120</t>
  </si>
  <si>
    <t>0112201</t>
  </si>
  <si>
    <t>0112202</t>
  </si>
  <si>
    <t>0112203</t>
  </si>
  <si>
    <t>0112204</t>
  </si>
  <si>
    <t>0112205</t>
  </si>
  <si>
    <t>0112206</t>
  </si>
  <si>
    <t>0111001</t>
  </si>
  <si>
    <t>Муниципальная программа муниципального образования город Торжок  «Муниципальное управление и гражданское общество» на  2014  - 2019 годы</t>
  </si>
  <si>
    <t>Капитальный ремонт и ремонт дворовых территорий многоквартирных домов, проездов к дворовым территориям многоквартирных домов города Торжка</t>
  </si>
  <si>
    <t>0419503</t>
  </si>
  <si>
    <t>0419603</t>
  </si>
  <si>
    <t>Обеспечение мероприятий по переселению 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реформированию жилищно-коммунального хозяйства</t>
  </si>
  <si>
    <t>Обеспечение мероприятий по переселению 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</si>
  <si>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0616105</t>
  </si>
  <si>
    <t>Капитальный ремонт и ремонт автомобильных дорог общего пользования местного значения  города Торжка</t>
  </si>
  <si>
    <t>0211005</t>
  </si>
  <si>
    <t>Издание книги "Ими гордится город"</t>
  </si>
  <si>
    <t>0854003</t>
  </si>
  <si>
    <t>0854004</t>
  </si>
  <si>
    <t>0854005</t>
  </si>
  <si>
    <t xml:space="preserve"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 города Торжка </t>
  </si>
  <si>
    <t>Субсидии юридическим лицам на возмещение части затрат, связанных с производством, выпуском и распространением периодических печатных изданий (газет), в отношении которых муниципальное образование город Торжок не является учредителем (соучредителем)</t>
  </si>
  <si>
    <t xml:space="preserve">Субсидии юридическим лицам (за исключением субсидий государственным (муниципальным) учреждениям), оказывающим услуги в сфере электронных средств массовой информации, учредителем (соучредителем) которых является муниципальное образование  город Торжок 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</si>
  <si>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</si>
  <si>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муниципального образования город Торжок  по разделам и подразделам классификации</t>
  </si>
  <si>
    <t>Другие вопросы в области физической культуры и спорта</t>
  </si>
  <si>
    <t>Всего:</t>
  </si>
  <si>
    <t>0800000</t>
  </si>
  <si>
    <t>Обеспечивающая подпрограмма</t>
  </si>
  <si>
    <t>0890000</t>
  </si>
  <si>
    <t>08 99110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</si>
  <si>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</si>
  <si>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0899130</t>
  </si>
  <si>
    <t>0897502</t>
  </si>
  <si>
    <t>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</si>
  <si>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</si>
  <si>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</si>
  <si>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 xml:space="preserve">Расходы, не включенные в муниципальные программы </t>
  </si>
  <si>
    <t>Расходы на обеспечение деятельности и иные расходы представительного органа муниципального образования город Торжок</t>
  </si>
  <si>
    <t>Председатель  Торжокской городской Думы</t>
  </si>
  <si>
    <t>Центральный аппарат органов, не включенных в муниципальные  программы муниципального образования город Торжок</t>
  </si>
  <si>
    <t>Подпрограмма "Создание условий для эффективного функционирования исполнительных органов местного самоуправления муниципального образования город Торжок</t>
  </si>
  <si>
    <t>0810000</t>
  </si>
  <si>
    <t>Муниципальная программа муниципального образования город Торжок  «Управление муниципальными финансами» на  2014 - 2019 годы</t>
  </si>
  <si>
    <t>1000000</t>
  </si>
  <si>
    <t>1090000</t>
  </si>
  <si>
    <t>1</t>
  </si>
  <si>
    <t>008</t>
  </si>
  <si>
    <t>0501</t>
  </si>
  <si>
    <t>Жилищное хозяйство</t>
  </si>
  <si>
    <t>0409</t>
  </si>
  <si>
    <t xml:space="preserve">Дорожное хозяйство (дорожные фонды)          </t>
  </si>
  <si>
    <t>Комитет по физкультуре, спорту и молодежной политике администрации муниципального образования город Торжок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</si>
  <si>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</si>
  <si>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</si>
  <si>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011</t>
  </si>
  <si>
    <t>Управление образования администрации города Торжка Тверской области</t>
  </si>
  <si>
    <t>Дошкольное образование</t>
  </si>
  <si>
    <t>Общее образование</t>
  </si>
  <si>
    <t>Телевидение и радиовещание</t>
  </si>
  <si>
    <t xml:space="preserve">Распределение бюджетных ассигнований  бюджета </t>
  </si>
  <si>
    <t>Другие вопросы в области образования</t>
  </si>
  <si>
    <t>Культура</t>
  </si>
  <si>
    <t>к решению Торжокской городской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</si>
  <si>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</si>
  <si>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</si>
  <si>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</si>
  <si>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</si>
  <si>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</si>
  <si>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</si>
  <si>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</si>
  <si>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</si>
  <si>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0895931</t>
  </si>
  <si>
    <t>Осуществление переданных органам местного самоуправления Тверской области в соответствии с пунктом 1 статьи 1 Закона Тверской области "О наделении органов местного самоуправления государственными полномочиями 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</si>
  <si>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0111002</t>
  </si>
  <si>
    <t>Организация и обеспечение отдыха и оздоровление детей города Торжка</t>
  </si>
  <si>
    <t>0117231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</si>
  <si>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 (кроме железнодорожного, водного транспорта и такси, включая маршрутные)</t>
  </si>
  <si>
    <t>0427417</t>
  </si>
  <si>
    <t>Предоставление социальных выплат молодым семьям на улучшение жилищных условий за счет средств областного бюджета</t>
  </si>
  <si>
    <t>0611002</t>
  </si>
  <si>
    <t>Выполнение работ по восстановлению изношенных покрытий автомобильных дорог общего пользования местного значения города Торжка (ямочный ремонт)</t>
  </si>
  <si>
    <t>Разработка проектно-сметной документации на проведение капитального ремонта помещения по ул. Металлистов для размещения филиала ГАУ "МФЦ"</t>
  </si>
  <si>
    <t>0811106</t>
  </si>
  <si>
    <t>0117201</t>
  </si>
  <si>
    <t>Организация обеспечения учащихся начальных классов муниципальных общеобразовательных организаций  горячим питанием за счет средств областного бюджета</t>
  </si>
  <si>
    <t>0616403</t>
  </si>
  <si>
    <t>Реализация отдельных мероприятий по автоматизации бюджетного процесса, включая управление закупками и информационно-правовое обеспечение бюджетного процесса за счет средств областного бюджета</t>
  </si>
  <si>
    <t>0526243</t>
  </si>
  <si>
    <t>Создание благоприятных условий для развития малоэтажного  (индивидуального) жилищного строительства:обеспечение инженерной инфраструктурой земельных участков  под жилищную застройку в микрорайоне "Южный"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</si>
  <si>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бюджета</t>
  </si>
  <si>
    <t>0117202</t>
  </si>
  <si>
    <t>Организация отдыха детей в каникулярное время за счет средств областного бюджета</t>
  </si>
  <si>
    <t>Прочие выплаты по обязательствам государства</t>
  </si>
  <si>
    <t>9930000</t>
  </si>
  <si>
    <t>9931000</t>
  </si>
  <si>
    <t>0425020</t>
  </si>
  <si>
    <t>Предоставление социальных выплат молодым семьям на улучшение жилищных условий за счет средств федерального бюджета</t>
  </si>
  <si>
    <t>0616402</t>
  </si>
  <si>
    <t>0536230</t>
  </si>
  <si>
    <t>Капитальный ремонт и ремонт автомобильных дорог общего пользования местного значения  города Торжка за счет средств областного бюджета</t>
  </si>
  <si>
    <t>Строительство распределительного газопровода низкого давления по  ул. Пустынь и Соминка в городе Торжке за счет средств областного бюджета</t>
  </si>
  <si>
    <t>0857446</t>
  </si>
  <si>
    <t xml:space="preserve"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 города Торжка за счет средств областного бюджета  </t>
  </si>
  <si>
    <t xml:space="preserve">Нанесение горизонтальной дорожной разметки на улично-дорожной сети города Торжка </t>
  </si>
  <si>
    <t>1017898</t>
  </si>
  <si>
    <t>0116404</t>
  </si>
  <si>
    <t>Проведение капитального ремонта зданий и помещений, находящихся в муниципальной собственности и используемых для размещения дошкольных образовательных организаций</t>
  </si>
  <si>
    <t>0117402</t>
  </si>
  <si>
    <t>Обеспечение комплексной безопасности зданий и помещений, находящихся в  муниципальной собственности и используемых для размещения общеобразовательных учреждений</t>
  </si>
  <si>
    <t>0212301</t>
  </si>
  <si>
    <t>0521001</t>
  </si>
  <si>
    <t>Разработка схем водоснабжения и водоотведения муниципального образования город Торжок</t>
  </si>
  <si>
    <t xml:space="preserve">Проведение ремонта помещения МКУК города Торжка "Централизованная библиотечная система" </t>
  </si>
  <si>
    <t>Средства на реализацию мероприятий по обращениям, поступающим к депутатам Законодательного Собрания Тверской области</t>
  </si>
  <si>
    <t>7</t>
  </si>
  <si>
    <t>0217406</t>
  </si>
  <si>
    <t>Комплектование библиотечного фонда муниципального казенного учреждения культуры города Торжка за счет средств областного бюджета</t>
  </si>
  <si>
    <t>0217408</t>
  </si>
  <si>
    <t>9999410</t>
  </si>
  <si>
    <t>Проведение ремонта помещения МКУК города Торжка "Централизованная библиотечная система"  за счет средств областного бюджета</t>
  </si>
  <si>
    <t>0115059</t>
  </si>
  <si>
    <t>Оснащение образовательных организаций, предоставляющих услуги дошкольного образования, в рамках реализации мероприятий по модернизации системы дошкольного образования за сче средств федерального бюджета</t>
  </si>
  <si>
    <t>0112208</t>
  </si>
  <si>
    <t>Оснащение муниципальных бюджетных образовательных организаций, предоставляющих услуги дошкольного образования</t>
  </si>
  <si>
    <t>0916401</t>
  </si>
  <si>
    <t>Проведение капитального и текущего ремонта в зданиях и (или) помещениях, находящихся в муниципальной собственности, планируемых для использования в целях размещения многофункциональных центров предоставления государственных и муниципальных услуг</t>
  </si>
  <si>
    <t>0854006</t>
  </si>
  <si>
    <t>Субсидии в виде имущественного взноса  Автономной некоммерческой организации "Редакция газеты "Новоторжский вестник" в целях развития  материально-технической базы</t>
  </si>
  <si>
    <t>№ п/п</t>
  </si>
  <si>
    <t>0620000</t>
  </si>
  <si>
    <t>Подпрограмма "Обеспечение безопасных условий дорожного движения на территории муниципального образования город Торжок</t>
  </si>
  <si>
    <t>0621005</t>
  </si>
  <si>
    <t xml:space="preserve">к решению Торжокской городской </t>
  </si>
  <si>
    <t>заработная плата с начислениями и компенсационными выплатами</t>
  </si>
  <si>
    <t xml:space="preserve">расходы на обеспечение образовательного процесса </t>
  </si>
  <si>
    <t>Управление образования администрации города Торжка Тверской области, в том числе:</t>
  </si>
  <si>
    <t xml:space="preserve"> Комитет по управлению имуществом муниципального образования город Торжок Тверской области</t>
  </si>
  <si>
    <t>Создание благоприятных условий для развития малоэтажного (индивидуального) жилищного строительства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</si>
  <si>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</si>
  <si>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Организация  обеспечения учащихся начальных классов муниципальных общеобразовательных организаций  горячим питанием</t>
  </si>
  <si>
    <t xml:space="preserve">Межбюджетные трансферты на поощрение достижения наилучших значений показателей деятельности органов местного самоуправления </t>
  </si>
  <si>
    <t xml:space="preserve">Организация отдыха детей в каникулярное время </t>
  </si>
  <si>
    <t>Капитальный ремонт и ремонт автомобильных дорог местного значения</t>
  </si>
  <si>
    <t>Развитие системы газоснабжения населенных пунктов</t>
  </si>
  <si>
    <t>Субсидии на поддержку редакций районных и городских газет</t>
  </si>
  <si>
    <t>Проведение капитального ремонта зданий и помещений, находящихся в муниципальной собственности и используемых для размещения дошкольных образовательных учреждений</t>
  </si>
  <si>
    <t>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учреждений</t>
  </si>
  <si>
    <t>Комплектование библиотечных фондов библиотек муниципальных образований Тверской области</t>
  </si>
  <si>
    <t>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</t>
  </si>
  <si>
    <t>Субсидии на модернизацию региональных систем дошкольного образования</t>
  </si>
  <si>
    <t>Субсидии бюджетам на выравнивание обеспеченности муниципальных образований по реализации ими их отдельных расходных обязательств</t>
  </si>
  <si>
    <t>Приложение  1</t>
  </si>
  <si>
    <t>Источники  финансирования  дефицита  бюджета</t>
  </si>
  <si>
    <t>Код</t>
  </si>
  <si>
    <t>000 01 03 00 00 00 0000 000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</si>
  <si>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</si>
  <si>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</si>
  <si>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>Погашение бюджетом городского  округа  кредитов от 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</si>
  <si>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</si>
  <si>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</si>
  <si>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</si>
  <si>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</si>
  <si>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</si>
  <si>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</si>
  <si>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</si>
  <si>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</si>
  <si>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</si>
  <si>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</si>
  <si>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</si>
  <si>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</si>
  <si>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</si>
  <si>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</si>
  <si>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</si>
  <si>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Реализация мероприятий государственной программы Российской Федерации "Доступная среда" на 2011-2015 годы за счет средств федерального бюджета</t>
  </si>
  <si>
    <t>0115027</t>
  </si>
  <si>
    <t>Реализация мероприятий государственной программы Российской Федерации "Доступная среда" на 2011-2015 годы за счет средств областного бюджета</t>
  </si>
  <si>
    <t>0117461</t>
  </si>
  <si>
    <t>Создание условий в базовых общеобразовательных организациях для инклюзивного образования детей-инвалидов в рамках реализации государственной программы Российской Федерации "Доступная среда на 2011-2015 годы" за счет средств федерального бюджета</t>
  </si>
  <si>
    <t>Создание условий в базовых общеобразовательных организациях для инклюзивного образования детей-инвалидов в рамках реализации государственной программы Российской Федерации "Доступная среда на 2011-2015 годы" за счет средств областного бюджета Тверской области</t>
  </si>
  <si>
    <t>Оснащение дополнительно введенных мест в муниципальных образовательных организациях, реализующих общеобразовательные программы дошкольного образования, в рамках комплекса мероприятий по модернизации региональной системы дошкольного образования</t>
  </si>
  <si>
    <t>0117466</t>
  </si>
  <si>
    <t>0121004</t>
  </si>
  <si>
    <t>Содействие в организации добровольческой деятельности молодежи</t>
  </si>
  <si>
    <t>0312203</t>
  </si>
  <si>
    <t>Содействие в материально-техническом оснащении и ремонте специализированной детско-юношеской спортивной школы олимпийского резерва</t>
  </si>
  <si>
    <t>Укрепление материально-технической базы МБУ "Городской Дом культуры"</t>
  </si>
  <si>
    <t>0212205</t>
  </si>
  <si>
    <t>Реализация расходных обязательств муниципальных образований Тверской области по развитию материально-технической базы редакций районных и городских газет в 2014 году</t>
  </si>
  <si>
    <t>0857447</t>
  </si>
  <si>
    <t>Субсидии в виде имущественного взноса  Автономной некоммерческой организации "Редакция газеты "Новоторжский вестник" в целях развития  материально-технической базы за счет средств областного бюджета</t>
  </si>
  <si>
    <t>0215190</t>
  </si>
  <si>
    <t>Поддержка комплексного развития муниципального бюджетного учреждения "Городской Дом культуры" в рамках подпрограмм "Наследие" и "Искусство" государственной программы Российской Федерации "Развитие культуры и туризма"</t>
  </si>
  <si>
    <t>Государственная поддержка (грант) комплексного развития муниципальных  учреждений культуры в рамках подпрограмм "Наследие" и "Искусство" государственной программы Российской Федерации "Развитие культуры и туризма"</t>
  </si>
  <si>
    <t>Наименование публичного 
нормативного обязательства</t>
  </si>
  <si>
    <t>Реквизиты нормативного правового акта</t>
  </si>
  <si>
    <t>Код расходов по БК</t>
  </si>
  <si>
    <t>вид</t>
  </si>
  <si>
    <t>дата</t>
  </si>
  <si>
    <t>номер</t>
  </si>
  <si>
    <t>наименование</t>
  </si>
  <si>
    <t>ЦСР</t>
  </si>
  <si>
    <t>ВР</t>
  </si>
  <si>
    <t>Решение Торжокской городской Думы</t>
  </si>
  <si>
    <t xml:space="preserve"> "О Положении о  порядке назначения и выплаты 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Торжок"</t>
  </si>
  <si>
    <t>Меры социальной поддержки для лиц, удостоенных  звания "Почетный гражданин города Торжка"</t>
  </si>
  <si>
    <t>О внесении изменений в Положение о звании Почетный гражданин города Торжка"</t>
  </si>
  <si>
    <t>Итого:</t>
  </si>
  <si>
    <t xml:space="preserve">Адресная инвестиционная программа </t>
  </si>
  <si>
    <t xml:space="preserve">Наименование </t>
  </si>
  <si>
    <t xml:space="preserve">Бюджетополучатель    </t>
  </si>
  <si>
    <t>х</t>
  </si>
  <si>
    <t>1.1.</t>
  </si>
  <si>
    <t xml:space="preserve">Жилищное хозяйство    </t>
  </si>
  <si>
    <t>1.1.1.</t>
  </si>
  <si>
    <t>Приобретение жилых помещений (квартир) на условиях долевого строительства малоэтажных жилых домов</t>
  </si>
  <si>
    <t xml:space="preserve">администрация муниципального образования город Торжок </t>
  </si>
  <si>
    <t>1.2.</t>
  </si>
  <si>
    <t>1.2.1.</t>
  </si>
  <si>
    <t xml:space="preserve">Инженерная подготовка площадки под жилую застройку в микрорайоне "Южный" г.Торжок Тверской области </t>
  </si>
  <si>
    <t>1.2.2.</t>
  </si>
  <si>
    <t>Строительство распределительного газопровода низкого давления по ул.Пустынь и Соминка в городе Торжке</t>
  </si>
  <si>
    <t>2.1.</t>
  </si>
  <si>
    <t>2.1.1.</t>
  </si>
  <si>
    <t>Итого</t>
  </si>
  <si>
    <t>Х</t>
  </si>
  <si>
    <t xml:space="preserve">к решению Торжокской  городской  </t>
  </si>
  <si>
    <t>Перечень мероприятий</t>
  </si>
  <si>
    <t>Наименование мероприятия</t>
  </si>
  <si>
    <t>Распорядитель (получатель) бюджетных средств</t>
  </si>
  <si>
    <t>Р/П</t>
  </si>
  <si>
    <t>Приобретение оборудования для детских игровых площадок придомовых территорий муниципального образования город Торжок</t>
  </si>
  <si>
    <t>ИТОГО:</t>
  </si>
  <si>
    <t xml:space="preserve">к решению Торжокской городской                 </t>
  </si>
  <si>
    <t xml:space="preserve">РАЗДЕЛ 1. Привлечение и погашение заёмных средств по кредитным договорам </t>
  </si>
  <si>
    <t>1.1. Привлечение заёмных средств :</t>
  </si>
  <si>
    <t>тыс.руб.</t>
  </si>
  <si>
    <t>№ 
п/п</t>
  </si>
  <si>
    <t>долговые обязательства</t>
  </si>
  <si>
    <t>Кредитные соглашения и договоры заключённые от имени муниципального образования</t>
  </si>
  <si>
    <t>в том числе:</t>
  </si>
  <si>
    <t>с Министерством финансов Тверской области</t>
  </si>
  <si>
    <t>Договор о предоставлении из областного бюджета Тверской области бюджетного кредита от 27.06.2012 №14 для частичного покрытия дефицита бюджета</t>
  </si>
  <si>
    <t>Утверждено решением о бюджете</t>
  </si>
  <si>
    <t>Кассовое исполнение</t>
  </si>
  <si>
    <t xml:space="preserve">ПРОГРАММА
  внутренних заимствований муниципального образования город Торжок за 2014 год  
</t>
  </si>
  <si>
    <t>Привлечение заемных средств в 2014 году.</t>
  </si>
  <si>
    <t>В 2014 году не планировалось привлечение заемных средств</t>
  </si>
  <si>
    <t>1.2. Погашение долговых обязательств в 2014 году.</t>
  </si>
  <si>
    <t>Лимит местного бюджета на 2014 год</t>
  </si>
  <si>
    <t>тыс. руб.</t>
  </si>
  <si>
    <t xml:space="preserve">Распределение целевых безвозмездных поступлений от других бюджетов бюджетной системы  Российской  Федерации  между распорядителями бюджетных средств за  2014 год 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</si>
  <si>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  и главным распорядителям средств бюджета муниципального образования город Торжок  за 2014 год </t>
  </si>
  <si>
    <t xml:space="preserve"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бюджета муниципального образования город Торжок  за 2014 год </t>
  </si>
  <si>
    <t xml:space="preserve"> расходов бюджета за 2014 год </t>
  </si>
  <si>
    <t xml:space="preserve"> </t>
  </si>
  <si>
    <t xml:space="preserve">муниципального образования город Торжок за 2014 год </t>
  </si>
  <si>
    <t>Оснащение образовательных организаций, предоставляющих услуги дошкольного образования, в рамках реализации мероприятий по модернизации системы дошкольного образования за счет средств федерального бюджета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</si>
  <si>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</si>
  <si>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</si>
  <si>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</si>
  <si>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</si>
  <si>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</si>
  <si>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12</t>
  </si>
  <si>
    <t xml:space="preserve">Приложение 13
</t>
  </si>
  <si>
    <t>Приложение 14</t>
  </si>
  <si>
    <t>Приложение 16</t>
  </si>
  <si>
    <t>Приложение 15</t>
  </si>
  <si>
    <t>Приложение  2</t>
  </si>
  <si>
    <t>Код бюджетной классификации</t>
  </si>
  <si>
    <t>администратора источника финансирования</t>
  </si>
  <si>
    <t>источника финансирования</t>
  </si>
  <si>
    <t>Управление финансов администрации города Торжка</t>
  </si>
  <si>
    <t xml:space="preserve"> 01 03 01 00 04 0000 810</t>
  </si>
  <si>
    <t xml:space="preserve"> 01 05 02 01 04 0000 510</t>
  </si>
  <si>
    <t xml:space="preserve"> 01 05 02 01 04 0000 610</t>
  </si>
  <si>
    <t>Приложение  3</t>
  </si>
  <si>
    <t xml:space="preserve"> 01 03 00 00 00 0000 000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</si>
  <si>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</si>
  <si>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000 02 01 00 00 00 0000 700</t>
  </si>
  <si>
    <t xml:space="preserve"> 01 03 01 00 00 0000 800</t>
  </si>
  <si>
    <t>Изменение остатков средств на счетах по учету средств бюджета</t>
  </si>
  <si>
    <t xml:space="preserve"> 01 05 00 00 00 0000 000</t>
  </si>
  <si>
    <t xml:space="preserve"> 01 05 00 00 00 0000 500</t>
  </si>
  <si>
    <t xml:space="preserve"> 01 05 02 00 00 0000 500</t>
  </si>
  <si>
    <t xml:space="preserve"> 01 05 00 00 00 0000 600</t>
  </si>
  <si>
    <t xml:space="preserve"> 01 05 02 00 00 0000 600</t>
  </si>
  <si>
    <t>Поступление доходов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за 2014 год</t>
  </si>
  <si>
    <t>Код БК</t>
  </si>
  <si>
    <t>Наименование показателя</t>
  </si>
  <si>
    <t xml:space="preserve">Утверждено  решением о бюджете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</si>
  <si>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</si>
  <si>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</si>
  <si>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</si>
  <si>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</si>
  <si>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</si>
  <si>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</si>
  <si>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</si>
  <si>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</si>
  <si>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</si>
  <si>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</si>
  <si>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</si>
  <si>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</si>
  <si>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</si>
  <si>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</si>
  <si>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</si>
  <si>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</si>
  <si>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</si>
  <si>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</si>
  <si>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</si>
  <si>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</si>
  <si>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</si>
  <si>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</si>
  <si>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</si>
  <si>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</si>
  <si>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</si>
  <si>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</si>
  <si>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</si>
  <si>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</si>
  <si>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</si>
  <si>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</si>
  <si>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</si>
  <si>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000 1 05 03000 01 0000 110</t>
  </si>
  <si>
    <t>Единый сельскохозяйственный налог</t>
  </si>
  <si>
    <t>000 1 05 03010 01 0000 110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</si>
  <si>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</si>
  <si>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</si>
  <si>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</si>
  <si>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</si>
  <si>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</si>
  <si>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</si>
  <si>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</si>
  <si>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</si>
  <si>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</si>
  <si>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</si>
  <si>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</si>
  <si>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</si>
  <si>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</si>
  <si>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</si>
  <si>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</si>
  <si>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</si>
  <si>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</si>
  <si>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</si>
  <si>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000 1 06 06022 04 0000 110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</si>
  <si>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</si>
  <si>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</si>
  <si>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</si>
  <si>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</si>
  <si>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</si>
  <si>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</si>
  <si>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</si>
  <si>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</si>
  <si>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</si>
  <si>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</si>
  <si>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</si>
  <si>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</si>
  <si>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</si>
  <si>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</si>
  <si>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</si>
  <si>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</si>
  <si>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</si>
  <si>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000 1 09 04052 04 0000 110</t>
  </si>
  <si>
    <t>Земельный налог (по обязательствам, возникшим до 1 января 2006 года), мобилизуемый на территориях городских округов</t>
  </si>
  <si>
    <t>000  1  09  07000  00  0000  110</t>
  </si>
  <si>
    <t>Прочие налоги и сборы (по отмененным местным налогам и сборам)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</si>
  <si>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</si>
  <si>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</si>
  <si>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000  1  09  07032  04  0000  110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</si>
  <si>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территории городских округов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</si>
  <si>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</si>
  <si>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</si>
  <si>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</si>
  <si>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</si>
  <si>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</si>
  <si>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</si>
  <si>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</si>
  <si>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</si>
  <si>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</si>
  <si>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</si>
  <si>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</si>
  <si>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</si>
  <si>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</si>
  <si>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</si>
  <si>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</si>
  <si>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</si>
  <si>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</si>
  <si>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</si>
  <si>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</si>
  <si>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</si>
  <si>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</si>
  <si>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</si>
  <si>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</si>
  <si>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госудасртвенной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</si>
  <si>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</si>
  <si>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</si>
  <si>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</si>
  <si>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</si>
  <si>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</si>
  <si>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</si>
  <si>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</si>
  <si>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</si>
  <si>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</si>
  <si>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</si>
  <si>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</si>
  <si>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</si>
  <si>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</si>
  <si>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</si>
  <si>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</si>
  <si>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</si>
  <si>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</si>
  <si>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</si>
  <si>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</si>
  <si>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</si>
  <si>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</si>
  <si>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</si>
  <si>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</si>
  <si>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</si>
  <si>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</si>
  <si>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</si>
  <si>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</si>
  <si>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</si>
  <si>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</si>
  <si>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</si>
  <si>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</si>
  <si>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</si>
  <si>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</si>
  <si>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</si>
  <si>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000 1 14 02040 00 0000 410</t>
  </si>
  <si>
    <t>Доходы от реализации 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</si>
  <si>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</si>
  <si>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</si>
  <si>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</si>
  <si>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</si>
  <si>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</si>
  <si>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</si>
  <si>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</si>
  <si>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</si>
  <si>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000 1 14 06020 04 0000 430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</si>
  <si>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</si>
  <si>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</si>
  <si>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</si>
  <si>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000 1 16 00000 00 0000 000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</si>
  <si>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</si>
  <si>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</si>
  <si>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</si>
  <si>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</si>
  <si>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 статьей 119.1, пунктами 1 и 2 статьи 120, статьями 125, 126, 128, 129, 129.1, 132, 133, 134, 135, 135.1 Налогового кодекса Российской Федерации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</si>
  <si>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</si>
  <si>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Кодеском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</si>
  <si>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</si>
  <si>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</si>
  <si>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</si>
  <si>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>Денежные взыскания ( 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</si>
  <si>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</si>
  <si>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Денежные взыскания ( 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</si>
  <si>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000 1 16 25000 01 0000 140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</si>
  <si>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</si>
  <si>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</si>
  <si>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</si>
  <si>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</si>
  <si>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</si>
  <si>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</si>
  <si>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</si>
  <si>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</si>
  <si>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</si>
  <si>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000 1 16 37000 00 0000 140</t>
  </si>
  <si>
    <t>Поступления сумм в возмещение вреда, причиняемого автомобильным дорогам  транспортными средствами, осуществляющими перевозки тяжеловесных и (или) крупногабаритных грузов</t>
  </si>
  <si>
    <t>000 1 16 37030 04 0000 140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</si>
  <si>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</si>
  <si>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</si>
  <si>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</si>
  <si>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000 1 16 51000 02 0000 140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</si>
  <si>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</si>
  <si>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</si>
  <si>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</si>
  <si>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</si>
  <si>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</si>
  <si>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</si>
  <si>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</si>
  <si>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</si>
  <si>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</si>
  <si>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</si>
  <si>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 от других бюджетов бюджетной системы Российской Федерации</t>
  </si>
  <si>
    <t>000 2 02 01000 00 0000 151</t>
  </si>
  <si>
    <t>Дотации бюджетам  субъектов Российской Федерации и муниципальных образований</t>
  </si>
  <si>
    <t>000 2 02 01003 00 0000 151</t>
  </si>
  <si>
    <t>Дотации бюджетам на поддержку мер по обеспечению сбалансированности бюджетов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</si>
  <si>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</si>
  <si>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</si>
  <si>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>000 2 02 02000 00 0000 151</t>
  </si>
  <si>
    <t>Субсидии бюджетам бюджетной системы Российской Федерации (межбюджетные субсидии)</t>
  </si>
  <si>
    <t>000 2 02 02008 00  0000 151</t>
  </si>
  <si>
    <t>Субсидии бюджетам на обеспечение жильем молодых семей</t>
  </si>
  <si>
    <t>000 2 02 02008 04  0000 151</t>
  </si>
  <si>
    <t>Субсидии бюджетам городских округов на обеспечение жильем молодых семей</t>
  </si>
  <si>
    <t>000 2 02 02051 00  0000 151</t>
  </si>
  <si>
    <t>Субсидии бюджетам на реализацию федеральных целевых программ</t>
  </si>
  <si>
    <t>000 2 02 02051 04  0000 151</t>
  </si>
  <si>
    <t>Субсидии бюджетам городских округов на реализацию федеральных целевых программ</t>
  </si>
  <si>
    <t>000 2 02 02077 00 0000 151</t>
  </si>
  <si>
    <t>Субсидии бюджетам городских округов на софинансирование капитальных вложений в объекты государственной (муниципальной) собственности</t>
  </si>
  <si>
    <t>000 2 02 02077 04  0000 151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</si>
  <si>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</si>
  <si>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000 2 02 02088 00  0000 151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</si>
  <si>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</si>
  <si>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000 2 02 02088 04  0000 151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</si>
  <si>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</si>
  <si>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000 2 02 02088 04  0004 151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</si>
  <si>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</si>
  <si>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000 2 02 02089 00  0000 151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</si>
  <si>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</si>
  <si>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000 2 02 02089 04  0000 151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</si>
  <si>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</si>
  <si>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000 2 02 02089 04  0004 151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</si>
  <si>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</si>
  <si>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000 2 02 02204 00  0004 151</t>
  </si>
  <si>
    <t>Субсидии бюджетам на модернизацию региональных систем дошкольного образования</t>
  </si>
  <si>
    <t>000 2 02 02204 04  0004 151</t>
  </si>
  <si>
    <t>Субсидии бюджетам городских округов на модернизацию региональных систем дошкольного образования</t>
  </si>
  <si>
    <t>000 2 02 02216 00 0000 151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</si>
  <si>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</si>
  <si>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</si>
  <si>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</si>
  <si>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000 2 02 02999 00 0000 151</t>
  </si>
  <si>
    <t>Прочие субсидии</t>
  </si>
  <si>
    <t>000 2 02 02999 04 0000 151</t>
  </si>
  <si>
    <t>Субсидии  на организацию обеспечения учащихся начальных классов муниципальных общеобразовательных учреждений горячим питанием</t>
  </si>
  <si>
    <t>Субсидии на организацию отдыха детей в каникулярное время</t>
  </si>
  <si>
    <t>Субсидии    на 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 (кроме железнодорожного, водного транспорта и такси, включая маршрутные)</t>
  </si>
  <si>
    <t>Субсидии на проведение капитального ремонта зданий и помещений, находящихся в муниципальной собственности и используемых для размещения дошкольных образовательных учреждений</t>
  </si>
  <si>
    <t>Субсидии на обеспечение комплексной безопасности зданий и помещений образовательных учреждений</t>
  </si>
  <si>
    <t>Субсидии на комплектование библиотечных фондов</t>
  </si>
  <si>
    <t>Субсидии на проведение противопожарных мероприятий и ремонта зданий и помещений, находящихся в муниципальной собственности и используемых для учреждений культуры</t>
  </si>
  <si>
    <t>Субсидии на проведение капитального и текущего ремонта в зданиях и (или) помещениях, находящихся в муниципальной собственности, планируемых для использования в целях размещения многофункциональных центров предоставления государственных и муниципальных услуг</t>
  </si>
  <si>
    <t>Субсидии на реализацию мероприятий государственной программы Российской Федерации "Доступная среда" на 2011-2015 годы за счет средств областного бюджета</t>
  </si>
  <si>
    <t>Субсидии бюджетам на оснащение дополнительно введенных мест в муниципальных образовательных организациях, реализующих общеобразовательные программы дошкольного образования, в рамках комплекса мероприятий по модернизации по региональной системы дошкольного образования</t>
  </si>
  <si>
    <t>Субсидии на развитие материально-технической базы редакций районных и городских газет</t>
  </si>
  <si>
    <t>000 2 02 03000 00 0000 151</t>
  </si>
  <si>
    <t>Субвенции бюджетам субъектов Российской Федерации и муниципальных образований</t>
  </si>
  <si>
    <t>000 2 02 03003 00 0000 151</t>
  </si>
  <si>
    <t xml:space="preserve">Субвенции  бюджетам на  государственную регистрацию актов гражданского состояния </t>
  </si>
  <si>
    <t>000 2 02 03003 04 0000 151</t>
  </si>
  <si>
    <t xml:space="preserve">Субвенции  бюджетам городских округов на  государственную регистрацию актов гражданского состояния </t>
  </si>
  <si>
    <t>000 2 02 03029 00 0000 151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</si>
  <si>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</si>
  <si>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</si>
  <si>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</si>
  <si>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</si>
  <si>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</si>
  <si>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000 2 02 03119 04 0000 151</t>
  </si>
  <si>
    <t>Субвенции бюджетам городских округов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</si>
  <si>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000 2 02 03999 00 0000 151</t>
  </si>
  <si>
    <t>Прочие субвенции</t>
  </si>
  <si>
    <t>000 2 02 03999 04 0000 151</t>
  </si>
  <si>
    <t>Субвенции на обеспечение государственных гарантий прав граждан на получение общедоступного и 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в муниципальных общеобразовательных учреждениях</t>
  </si>
  <si>
    <t>Субвенции местным бюджетам на обеспечение государственных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</si>
  <si>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государственных полномочий по созданию, 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</si>
  <si>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</si>
  <si>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000 2 02 04000 00 0000 151</t>
  </si>
  <si>
    <t>Иные межбюджетные трансферты</t>
  </si>
  <si>
    <t>000 2 02 04070 00 0000 151</t>
  </si>
  <si>
    <t>Межбюджетные трансферты, передаваемые бюджетам на государственную поддержку (грант) комплексного развития региональных и муниципальных учреждений культуры</t>
  </si>
  <si>
    <t>000 2 02 04070 04 0000 151</t>
  </si>
  <si>
    <t>Межбюджетные трансферты, передаваемые бюджетам городских округов на государственную поддержку (грант) комплексного развития региональных и муниципальных учреждений культуры</t>
  </si>
  <si>
    <t>000 2 02 04999 00 0000 151</t>
  </si>
  <si>
    <t xml:space="preserve">Прочие межбюджетные трансферты, передаваемые бюджетам </t>
  </si>
  <si>
    <t>000 2 02 04999 04 0000 151</t>
  </si>
  <si>
    <t xml:space="preserve">Прочие межбюджетные трансферты, передаваемые бюджетам городских округов  </t>
  </si>
  <si>
    <t>000 2 07 00000 00 0000 180</t>
  </si>
  <si>
    <t>Прочие безвозмездные поступления</t>
  </si>
  <si>
    <t>000 2 07 04000 00 0000 180</t>
  </si>
  <si>
    <t>Прочие безвозмездные поступления в бюджеты городских округов</t>
  </si>
  <si>
    <t>000 2 07 04010 04 0000 180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</si>
  <si>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</si>
  <si>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000 2 07 04050 04 0000 180</t>
  </si>
  <si>
    <t xml:space="preserve">Прочие безвозмездные поступления в бюджеты городских округов </t>
  </si>
  <si>
    <t>000 2 18 00000 00 0000 180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</si>
  <si>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</si>
  <si>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000 2 18 04000 04 0000 180</t>
  </si>
  <si>
    <t>Доходы бюджетов городских округов от возврата организациями остатков субсидий прошлых лет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</si>
  <si>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</si>
  <si>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</si>
  <si>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000 2 19 00000 00 0000 151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</si>
  <si>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</si>
  <si>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</si>
  <si>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</si>
  <si>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к   решению Торжокской городской </t>
  </si>
  <si>
    <t>Код администратора доходов</t>
  </si>
  <si>
    <t>Наименование кода классификации доходов</t>
  </si>
  <si>
    <t>Код классификации доходов</t>
  </si>
  <si>
    <t>Исполнено,  тыс.руб.</t>
  </si>
  <si>
    <t>0 0 1</t>
  </si>
  <si>
    <t>001 1 08 07150 01 0000 110</t>
  </si>
  <si>
    <t>001 113 02994 04 0000 130</t>
  </si>
  <si>
    <t>001 116 33040 04 0000 140</t>
  </si>
  <si>
    <t>001 116 37030 04 0000 140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</si>
  <si>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</si>
  <si>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001 116 51020 02 0000 140</t>
  </si>
  <si>
    <t>001 116 90040 04 0000 140</t>
  </si>
  <si>
    <t>001 202 02077 04 0000 151</t>
  </si>
  <si>
    <t>001 202 02088 04 0004 151</t>
  </si>
  <si>
    <t>001 202 02089 04 0004 151</t>
  </si>
  <si>
    <t>001 202 02216 04 0000 151</t>
  </si>
  <si>
    <t>001 202 02999 04 0000 151</t>
  </si>
  <si>
    <t>001 202 03003 04 0000 151</t>
  </si>
  <si>
    <t>001 202 03999 04 0000 151</t>
  </si>
  <si>
    <t>001 202 04070 04 0000 151</t>
  </si>
  <si>
    <t>Прочие межбюджетные трансферты, передаваемые бюджетам городских округов. Средства на реализацию мероприятий по обращениям, поступающим к депутатам Законодательного Собрания Тверской области</t>
  </si>
  <si>
    <t>001 202 04999 04 0000 151</t>
  </si>
  <si>
    <t>001 207 04010 04 0000 180</t>
  </si>
  <si>
    <t>001 207 04050 04 0000 180</t>
  </si>
  <si>
    <t>001 219 04000 04 0000 151</t>
  </si>
  <si>
    <t>0 0 2</t>
  </si>
  <si>
    <t>002 202 01003 04 0000 151</t>
  </si>
  <si>
    <t>002 202 02999 04 0000 151</t>
  </si>
  <si>
    <t>0 0 5</t>
  </si>
  <si>
    <t>005 111 05024 04 0000 120</t>
  </si>
  <si>
    <t>005 111 05074 04 0000 120</t>
  </si>
  <si>
    <t>005 111 07014 04 0000 120</t>
  </si>
  <si>
    <t>005 111 09044 04 0000 120</t>
  </si>
  <si>
    <t>005 113 01994 04 0000 130</t>
  </si>
  <si>
    <t>005 114 02043 04 0000 410</t>
  </si>
  <si>
    <t>005 114 06024 04 0000 430</t>
  </si>
  <si>
    <t>Субвенции бюджетам городских округов на обеспечение предоставления жилых помещений детям-сиротам и детям, оставшимися  без попечения родителей, лицам из их числа по договорам найма специализированных жилых помещений</t>
  </si>
  <si>
    <t>005 202 03119 04 0000 151</t>
  </si>
  <si>
    <t>0 0 8</t>
  </si>
  <si>
    <t>008 113 02994 04 0000 151</t>
  </si>
  <si>
    <t>008 202 02008 04 0000 151</t>
  </si>
  <si>
    <t>008 202 02051 04 0000 151</t>
  </si>
  <si>
    <t>008 202 02999 04 0000 151</t>
  </si>
  <si>
    <t>008 202 04999 04 0000 151</t>
  </si>
  <si>
    <t xml:space="preserve">0 1 1 </t>
  </si>
  <si>
    <t>011 113 02994 04 0000 130</t>
  </si>
  <si>
    <t>011 202 02051 04 0000 151</t>
  </si>
  <si>
    <t>011 202 02204 04 0000 151</t>
  </si>
  <si>
    <t>011 202 02999 04 0000 151</t>
  </si>
  <si>
    <t>011 202 03029 04 0000 151</t>
  </si>
  <si>
    <t>011 202 03999 04 0000 151</t>
  </si>
  <si>
    <t>011 202 04999 04 0000 151</t>
  </si>
  <si>
    <t>011 218 04010 04 0000 180</t>
  </si>
  <si>
    <t>011 219 04000 04 0000 151</t>
  </si>
  <si>
    <t xml:space="preserve">0 1 9 </t>
  </si>
  <si>
    <t>Министерство имущественных и земельных отношений Тверской области</t>
  </si>
  <si>
    <t>019 111 05012 04 0000 120</t>
  </si>
  <si>
    <t>019 114 06012 04 0000 430</t>
  </si>
  <si>
    <t xml:space="preserve">0 4 8 </t>
  </si>
  <si>
    <t>Федеральная служба по надзору в сфере природопользования</t>
  </si>
  <si>
    <t>048 112 01010 01 0000 120</t>
  </si>
  <si>
    <t>048 112 01020 01 0000 120</t>
  </si>
  <si>
    <t>048 112 01030 01 0000 120</t>
  </si>
  <si>
    <t>048 112 01040 01 0000 120</t>
  </si>
  <si>
    <t>0 8 6</t>
  </si>
  <si>
    <t>Главное управление "Государственная инспекция по ветеринарии" Тверской области</t>
  </si>
  <si>
    <t>086 116 90040 04 0000 140</t>
  </si>
  <si>
    <t>1 0 0</t>
  </si>
  <si>
    <t>Федеральное казначейство</t>
  </si>
  <si>
    <t>100 1 03 02230 01 0000 110</t>
  </si>
  <si>
    <t>100 1 03 02240 01 0000 110</t>
  </si>
  <si>
    <t>100 1 03 02250 01 0000 110</t>
  </si>
  <si>
    <t>100 1 03 02260 01 0000 110</t>
  </si>
  <si>
    <t>1 4 1</t>
  </si>
  <si>
    <t>Федеральная служба по надзору в сфере защиты прав потребителей и благополучия человека</t>
  </si>
  <si>
    <t>141 116 28000 01 0000 140</t>
  </si>
  <si>
    <t>1 5 0</t>
  </si>
  <si>
    <t>Федеральная служба по труду и занятости</t>
  </si>
  <si>
    <t>150 116 90040 04 0000 140</t>
  </si>
  <si>
    <t>1 7 7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</si>
  <si>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</si>
  <si>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177 116 43000 01 0000 140</t>
  </si>
  <si>
    <t>1 8 2</t>
  </si>
  <si>
    <t>Федеральная налоговая служба</t>
  </si>
  <si>
    <t>182 101 02010 01 0000 110</t>
  </si>
  <si>
    <t>182 101 02020 01 0000 110</t>
  </si>
  <si>
    <t>182 101 02030 01 0000 110</t>
  </si>
  <si>
    <t>182 105 02010 02 0000 110</t>
  </si>
  <si>
    <t>182 105 02020 02 0000 110</t>
  </si>
  <si>
    <t>182 105 03010 01 0000 110</t>
  </si>
  <si>
    <t>182 105 04010 02 0000 110</t>
  </si>
  <si>
    <t>182 106 01020 04 0000 110</t>
  </si>
  <si>
    <t>182 106 06012 04 0000 110</t>
  </si>
  <si>
    <t>182 106 06022 04 0000 110</t>
  </si>
  <si>
    <t>182 108 03010 01 0000 110</t>
  </si>
  <si>
    <t>182 109 04052 04 0000 110</t>
  </si>
  <si>
    <t>182 109 07032 04 0000 110</t>
  </si>
  <si>
    <t>182 116 03010 01 0000 140</t>
  </si>
  <si>
    <t>182 116 03030 01 0000 140</t>
  </si>
  <si>
    <t>182 116 06000 01 0000 140</t>
  </si>
  <si>
    <t>182 116 90040 04 0000 140</t>
  </si>
  <si>
    <t xml:space="preserve">1 8 8 </t>
  </si>
  <si>
    <t>Министерство внутренних дел Российской Федерации</t>
  </si>
  <si>
    <t>188 116 08010 01 6000 140</t>
  </si>
  <si>
    <t>188 116 43000 01 0000 140</t>
  </si>
  <si>
    <t>188 116 90040 04 6000 140</t>
  </si>
  <si>
    <t xml:space="preserve">1 9 2 </t>
  </si>
  <si>
    <t>Федеральная миграционная служба</t>
  </si>
  <si>
    <t>192 116 90040 04 0000 140</t>
  </si>
  <si>
    <t xml:space="preserve">2 4 5 </t>
  </si>
  <si>
    <t>Управление "Государственная инспекция Тверской области по надзору за техническим состоянием самоходных машин и других видов техники"</t>
  </si>
  <si>
    <t>245 116 90040 04 0000 140</t>
  </si>
  <si>
    <t xml:space="preserve">3 2 1 </t>
  </si>
  <si>
    <t>Федеральная служба государственной регистрации, кадастра и картографии</t>
  </si>
  <si>
    <t>321 116 25060 01 0000 140</t>
  </si>
  <si>
    <t>Доходы бюджета муниципального образования город Торжок за 2014 год по кодам видов доходов, подвидов доходов, классификации операций сектора государственного управления, относящихся  к доходам бюджета</t>
  </si>
  <si>
    <t>Коды классификации доходов по видам, подвидам, операциям сектора государственного управления</t>
  </si>
  <si>
    <t>101 02010 01 1000 110</t>
  </si>
  <si>
    <t>101 02010 01 2000 110</t>
  </si>
  <si>
    <t>101 02010 01 3000 110</t>
  </si>
  <si>
    <t>101 02010 01 4000 110</t>
  </si>
  <si>
    <t>101 02020 01 1000 110</t>
  </si>
  <si>
    <t>101 02020 01 2000 110</t>
  </si>
  <si>
    <t>101 02020 01 3000 110</t>
  </si>
  <si>
    <t>101 02030 01 1000 110</t>
  </si>
  <si>
    <t>101 02030 01 2000 110</t>
  </si>
  <si>
    <t>101 02030 01 3000 110</t>
  </si>
  <si>
    <t>101 02030 01 4000 110</t>
  </si>
  <si>
    <t>103 02230 01 0000 110</t>
  </si>
  <si>
    <t>103 02240 01 0000 110</t>
  </si>
  <si>
    <t>103 02250 01 0000 110</t>
  </si>
  <si>
    <t>103 02260 01 0000 110</t>
  </si>
  <si>
    <t>105 02010 02 1000 110</t>
  </si>
  <si>
    <t>105 02010 02 2000 110</t>
  </si>
  <si>
    <t>105 02010 02 3000 110</t>
  </si>
  <si>
    <t>105 02020 02 1000 110</t>
  </si>
  <si>
    <t>105 02020 02 2000 110</t>
  </si>
  <si>
    <t>105 02020 02 3000 110</t>
  </si>
  <si>
    <t>105 03010 01 1000 110</t>
  </si>
  <si>
    <t>105 03010 01 2000 110</t>
  </si>
  <si>
    <t>105 04010 02 1000 110</t>
  </si>
  <si>
    <t>106 01020 04 1000 110</t>
  </si>
  <si>
    <t>106 01020 04 2000 110</t>
  </si>
  <si>
    <t>106 06012 04 1000 110</t>
  </si>
  <si>
    <t>106 06012 04 2000 110</t>
  </si>
  <si>
    <t>106 06012 04 3000 110</t>
  </si>
  <si>
    <t>106 06022 04 1000 110</t>
  </si>
  <si>
    <t>106 06022 04 2000 110</t>
  </si>
  <si>
    <t>106 06022 04 3000 110</t>
  </si>
  <si>
    <t>108 03010 01 1000 110</t>
  </si>
  <si>
    <t>108 07150 01 1000 110</t>
  </si>
  <si>
    <t>109 04052 04 1000 110</t>
  </si>
  <si>
    <t>109 04052 04 2000 110</t>
  </si>
  <si>
    <t>109 07032 04 1000 110</t>
  </si>
  <si>
    <t>111 05012 04 0000 120</t>
  </si>
  <si>
    <t>111 05024 04 0000 120</t>
  </si>
  <si>
    <t>111 05074 04 0000 120</t>
  </si>
  <si>
    <t>111 07014 04 0000 120</t>
  </si>
  <si>
    <t>111 09044 04 0000 120</t>
  </si>
  <si>
    <t>112 01010 01 6000 120</t>
  </si>
  <si>
    <t>112 01020 01 6000 120</t>
  </si>
  <si>
    <t>112 01030 01 6000 120</t>
  </si>
  <si>
    <t>112 01040 01 6000 120</t>
  </si>
  <si>
    <t>113 01994 04 0000 130</t>
  </si>
  <si>
    <t>113 02994 04 0000 130</t>
  </si>
  <si>
    <t>114 02043 04 0000 410</t>
  </si>
  <si>
    <t>114 06012 04 0000 430</t>
  </si>
  <si>
    <t>114 06024 04 0000 430</t>
  </si>
  <si>
    <t>116 03010 01 6000 140</t>
  </si>
  <si>
    <t>116 03030 01 6000 140</t>
  </si>
  <si>
    <t>116 06000 01 6000 140</t>
  </si>
  <si>
    <t>116 08010 01 6000 140</t>
  </si>
  <si>
    <t>116 25060 01 6000 140</t>
  </si>
  <si>
    <t>116 28000 01 6000 140</t>
  </si>
  <si>
    <t>116 33040 04 6000 140</t>
  </si>
  <si>
    <t>116 37030 04 0000 140</t>
  </si>
  <si>
    <t>116 43000 01 6000 140</t>
  </si>
  <si>
    <t>116 51020 02 0000 140</t>
  </si>
  <si>
    <t>116 90040 04 0000 140</t>
  </si>
  <si>
    <t>202 01003 04 0000 151</t>
  </si>
  <si>
    <t>202 02008 04 0000 151</t>
  </si>
  <si>
    <t>202 02051 04 0000 151</t>
  </si>
  <si>
    <t>202 02077 04 0000 151</t>
  </si>
  <si>
    <t>202 02088 04 0004 151</t>
  </si>
  <si>
    <t>202 02089 04 0004 151</t>
  </si>
  <si>
    <t>202 02204 04 0000 151</t>
  </si>
  <si>
    <t>Субсидии бюджетам на капитальный ремонт и ремонт автомобильных дорог местного значения</t>
  </si>
  <si>
    <t>202 02216 04 2057 151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</si>
  <si>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</t>
  </si>
  <si>
    <t>202 02216 04 2123 151</t>
  </si>
  <si>
    <t>202 02999 04 2011 151</t>
  </si>
  <si>
    <t>202 02999 04 2012 151</t>
  </si>
  <si>
    <t>202 02999 04 2014 151</t>
  </si>
  <si>
    <t>202 02999 04 2044 151</t>
  </si>
  <si>
    <t>202 02999 04 2049 151</t>
  </si>
  <si>
    <t>202 02999 04 2062 151</t>
  </si>
  <si>
    <t>202 02999 04 2058 151</t>
  </si>
  <si>
    <t>202 02999 04 2071 151</t>
  </si>
  <si>
    <t>202 02999 04 2078 151</t>
  </si>
  <si>
    <t>202 02999 04 2115 151</t>
  </si>
  <si>
    <t>202 02999 04 2124 151</t>
  </si>
  <si>
    <t>202 02999 04 2173 151</t>
  </si>
  <si>
    <t>202 03003 04 0000 151</t>
  </si>
  <si>
    <t>202 03029 04 0000 151</t>
  </si>
  <si>
    <t>Субвенции бюджетам городских округов на обеспечение предоставления жилых помещений детям-сиротам и детям, оставшимся  без попечения родителей, лицам из их числа по договорам найма специализированных жилых помещений</t>
  </si>
  <si>
    <t>202 03119 04 0000 151</t>
  </si>
  <si>
    <t>202 03999 04 2015 151</t>
  </si>
  <si>
    <t>202 03999 04 2016 151</t>
  </si>
  <si>
    <t>202 03999 04 2114 151</t>
  </si>
  <si>
    <t>202 03999 04 2153 151</t>
  </si>
  <si>
    <t>202 04070 04 0000 151</t>
  </si>
  <si>
    <t>202 04999 04 2081 151</t>
  </si>
  <si>
    <t>207 04010 04 0000 180</t>
  </si>
  <si>
    <t>207 04050 04 0000 180</t>
  </si>
  <si>
    <t>218 04010 04 0000 180</t>
  </si>
  <si>
    <t>219 04000 04 0000 151</t>
  </si>
  <si>
    <t>Приложение 4</t>
  </si>
  <si>
    <t>Приложение 5</t>
  </si>
  <si>
    <t>Приложение  6</t>
  </si>
  <si>
    <t>000 01 03 01 00 00 0000 800</t>
  </si>
  <si>
    <t>000 01 03 01 00 04 0000 810</t>
  </si>
  <si>
    <t xml:space="preserve">Источники   финансирования дефицита бюджета муниципального образования город Торжок по кодам классификации источников финансирования дефицитов бюджетов за 2014 год </t>
  </si>
  <si>
    <t xml:space="preserve">Источники  финансирования дефицита бюджета муниципального образования город Торжок по кодам групп, подгрупп, статей, видов 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дефицита бюджета за 2014 год </t>
  </si>
  <si>
    <t>Доходы бюджета муниципального образования город Торжок за 2014 год по кодам классификации доходов бюджета</t>
  </si>
  <si>
    <t xml:space="preserve">Ведомственная структура расходов бюджета муниципального образования  город Торжок за 2014 год </t>
  </si>
  <si>
    <t xml:space="preserve"> по обращениям, поступающим к депутатам Торжокской городской Думы, за 2014 год</t>
  </si>
  <si>
    <t>к   решению Торжокской городской</t>
  </si>
  <si>
    <r>
      <t>Распределение бюджетных ассигнований бюджета муниципального образования город Торжок по разделам и подразделам, целевым статьям и</t>
    </r>
    <r>
      <rPr>
        <b/>
        <sz val="13"/>
        <color rgb="FFFF0000"/>
        <rFont val="Times New Roman"/>
        <family val="1"/>
      </rPr>
      <t xml:space="preserve"> </t>
    </r>
    <r>
      <rPr>
        <b/>
        <sz val="13"/>
        <rFont val="Times New Roman"/>
        <family val="1"/>
      </rPr>
      <t xml:space="preserve">группам видов расходов классификации расходов бюджета за 2014 год </t>
    </r>
  </si>
  <si>
    <t>муниципального образования город Торжок за 2014 год</t>
  </si>
  <si>
    <t xml:space="preserve">Средства, направляемые  на исполнение публичных нормативных обязательств муниципального образования город Торжок  за 2014 год </t>
  </si>
  <si>
    <t>Думы  от 14.05.2015  № 301</t>
  </si>
  <si>
    <t>Думы  от  14.05.2015  № 301</t>
  </si>
  <si>
    <t xml:space="preserve"> Думы от 14.05.2015 № 301</t>
  </si>
  <si>
    <t xml:space="preserve"> Думы от 14.05.2015  № 301</t>
  </si>
  <si>
    <t>Думы  от 14.05.2015 № 301</t>
  </si>
  <si>
    <t>Думы  от  14.05.2015 № 301</t>
  </si>
  <si>
    <t>Думы от 14.05.2015 № 301</t>
  </si>
</sst>
</file>

<file path=xl/styles.xml><?xml version="1.0" encoding="utf-8"?>
<styleSheet xmlns="http://schemas.openxmlformats.org/spreadsheetml/2006/main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0000"/>
    <numFmt numFmtId="166" formatCode="0000000"/>
    <numFmt numFmtId="167" formatCode="000"/>
    <numFmt numFmtId="168" formatCode="_-* #,##0.0_р_._-;\-* #,##0.0_р_._-;_-* &quot;-&quot;??_р_._-;_-@_-"/>
    <numFmt numFmtId="169" formatCode="#,##0.0"/>
  </numFmts>
  <fonts count="24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0.9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3"/>
      <name val="Times New Roman Cyr"/>
      <family val="2"/>
    </font>
    <font>
      <sz val="13"/>
      <name val="Times New Roman Cyr"/>
      <family val="1"/>
    </font>
    <font>
      <sz val="11"/>
      <name val="Times New Roman Cyr"/>
      <family val="1"/>
    </font>
    <font>
      <sz val="13"/>
      <name val="Arial Cyr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color indexed="63"/>
      <name val="Arial"/>
      <family val="2"/>
    </font>
    <font>
      <b/>
      <sz val="13"/>
      <color indexed="8"/>
      <name val="ARIAL"/>
      <family val="2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9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 horizontal="justify" vertical="top" wrapText="1"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</cellStyleXfs>
  <cellXfs count="343"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0" xfId="0" applyNumberFormat="1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horizontal="right" wrapText="1"/>
    </xf>
    <xf numFmtId="49" fontId="3" fillId="0" borderId="3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9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4" fillId="0" borderId="1" xfId="22" applyFont="1" applyFill="1" applyBorder="1" applyAlignment="1">
      <alignment horizontal="left" vertical="center" wrapText="1"/>
      <protection/>
    </xf>
    <xf numFmtId="0" fontId="14" fillId="0" borderId="1" xfId="22" applyFont="1" applyFill="1" applyBorder="1" applyAlignment="1">
      <alignment vertical="center" wrapText="1"/>
      <protection/>
    </xf>
    <xf numFmtId="0" fontId="4" fillId="0" borderId="0" xfId="0" applyFont="1" applyFill="1" applyAlignment="1">
      <alignment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8" fontId="3" fillId="0" borderId="1" xfId="24" applyNumberFormat="1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26" applyFont="1" applyAlignment="1">
      <alignment horizontal="justify" vertical="top" wrapText="1"/>
      <protection/>
    </xf>
    <xf numFmtId="41" fontId="3" fillId="0" borderId="0" xfId="25" applyFont="1" applyAlignment="1">
      <alignment vertical="top" wrapText="1"/>
    </xf>
    <xf numFmtId="0" fontId="3" fillId="0" borderId="0" xfId="26" applyFont="1" applyAlignment="1">
      <alignment vertical="top" wrapText="1"/>
      <protection/>
    </xf>
    <xf numFmtId="0" fontId="3" fillId="0" borderId="0" xfId="26" applyFont="1" applyAlignment="1">
      <alignment vertical="top"/>
      <protection/>
    </xf>
    <xf numFmtId="0" fontId="3" fillId="0" borderId="1" xfId="26" applyFont="1" applyBorder="1" applyAlignment="1">
      <alignment horizontal="center" vertical="center" wrapText="1"/>
      <protection/>
    </xf>
    <xf numFmtId="0" fontId="3" fillId="0" borderId="0" xfId="26" applyFont="1" applyAlignment="1">
      <alignment horizontal="center" vertical="center" wrapText="1"/>
      <protection/>
    </xf>
    <xf numFmtId="0" fontId="3" fillId="0" borderId="1" xfId="26" applyFont="1" applyBorder="1" applyAlignment="1">
      <alignment horizontal="left" vertical="center" wrapText="1" indent="1"/>
      <protection/>
    </xf>
    <xf numFmtId="164" fontId="3" fillId="0" borderId="1" xfId="26" applyNumberFormat="1" applyFont="1" applyBorder="1" applyAlignment="1">
      <alignment horizontal="center" vertical="center" wrapText="1"/>
      <protection/>
    </xf>
    <xf numFmtId="0" fontId="3" fillId="0" borderId="1" xfId="26" applyFont="1" applyBorder="1" applyAlignment="1">
      <alignment horizontal="left" vertical="top" wrapText="1"/>
      <protection/>
    </xf>
    <xf numFmtId="0" fontId="4" fillId="0" borderId="1" xfId="26" applyFont="1" applyBorder="1" applyAlignment="1">
      <alignment horizontal="left" vertical="top" wrapText="1" indent="1"/>
      <protection/>
    </xf>
    <xf numFmtId="164" fontId="4" fillId="0" borderId="1" xfId="26" applyNumberFormat="1" applyFont="1" applyBorder="1" applyAlignment="1">
      <alignment horizontal="center" vertical="top" wrapText="1"/>
      <protection/>
    </xf>
    <xf numFmtId="0" fontId="3" fillId="0" borderId="0" xfId="26" applyFont="1" applyAlignment="1">
      <alignment horizontal="right" vertical="top" wrapText="1"/>
      <protection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26" applyFont="1" applyBorder="1" applyAlignment="1">
      <alignment horizontal="center" vertical="center" wrapText="1"/>
      <protection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 shrinkToFit="1"/>
    </xf>
    <xf numFmtId="0" fontId="3" fillId="0" borderId="1" xfId="26" applyFont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64" fontId="12" fillId="0" borderId="1" xfId="22" applyNumberFormat="1" applyFont="1" applyFill="1" applyBorder="1" applyAlignment="1">
      <alignment horizontal="center" vertical="center" wrapText="1"/>
      <protection/>
    </xf>
    <xf numFmtId="164" fontId="13" fillId="0" borderId="1" xfId="22" applyNumberFormat="1" applyFont="1" applyFill="1" applyBorder="1" applyAlignment="1">
      <alignment horizontal="center" vertical="center" wrapText="1"/>
      <protection/>
    </xf>
    <xf numFmtId="164" fontId="14" fillId="0" borderId="1" xfId="22" applyNumberFormat="1" applyFont="1" applyFill="1" applyBorder="1" applyAlignment="1">
      <alignment horizontal="center" vertical="center" wrapText="1"/>
      <protection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49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49" fontId="17" fillId="0" borderId="0" xfId="0" applyNumberFormat="1" applyFont="1" applyAlignment="1">
      <alignment wrapText="1"/>
    </xf>
    <xf numFmtId="0" fontId="17" fillId="0" borderId="0" xfId="0" applyFont="1" applyFill="1" applyAlignment="1">
      <alignment wrapText="1"/>
    </xf>
    <xf numFmtId="0" fontId="17" fillId="0" borderId="0" xfId="26" applyFont="1" applyAlignment="1">
      <alignment horizontal="justify" vertical="top" wrapText="1"/>
      <protection/>
    </xf>
    <xf numFmtId="0" fontId="17" fillId="0" borderId="0" xfId="26" applyFont="1" applyAlignment="1">
      <alignment horizontal="right" vertical="top" wrapText="1"/>
      <protection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26" applyFont="1" applyBorder="1" applyAlignment="1">
      <alignment horizontal="center" vertical="center" wrapText="1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0" xfId="27" applyFont="1" applyAlignment="1" applyProtection="1">
      <alignment vertical="top" wrapText="1"/>
      <protection locked="0"/>
    </xf>
    <xf numFmtId="49" fontId="3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center" vertical="center"/>
    </xf>
    <xf numFmtId="0" fontId="10" fillId="0" borderId="0" xfId="27" applyFont="1" applyAlignment="1" applyProtection="1">
      <alignment vertical="top" wrapText="1"/>
      <protection locked="0"/>
    </xf>
    <xf numFmtId="49" fontId="3" fillId="0" borderId="0" xfId="28" applyNumberFormat="1" applyFont="1" applyFill="1" applyBorder="1" applyAlignment="1">
      <alignment horizontal="left" vertical="center"/>
      <protection/>
    </xf>
    <xf numFmtId="0" fontId="3" fillId="0" borderId="0" xfId="28" applyFont="1" applyFill="1" applyBorder="1" applyAlignment="1">
      <alignment horizontal="left" vertical="center"/>
      <protection/>
    </xf>
    <xf numFmtId="0" fontId="21" fillId="0" borderId="0" xfId="28" applyFont="1" applyFill="1" applyBorder="1" applyAlignment="1">
      <alignment horizontal="left" vertical="center" wrapText="1"/>
      <protection/>
    </xf>
    <xf numFmtId="49" fontId="3" fillId="0" borderId="1" xfId="28" applyNumberFormat="1" applyFont="1" applyBorder="1" applyAlignment="1">
      <alignment horizontal="center" vertical="center" wrapText="1"/>
      <protection/>
    </xf>
    <xf numFmtId="0" fontId="3" fillId="0" borderId="1" xfId="28" applyFont="1" applyBorder="1" applyAlignment="1">
      <alignment horizontal="center" vertical="center" wrapText="1"/>
      <protection/>
    </xf>
    <xf numFmtId="1" fontId="3" fillId="0" borderId="1" xfId="28" applyNumberFormat="1" applyFont="1" applyBorder="1" applyAlignment="1">
      <alignment horizontal="center" vertical="center" wrapText="1"/>
      <protection/>
    </xf>
    <xf numFmtId="0" fontId="4" fillId="0" borderId="0" xfId="28" applyFont="1" applyFill="1" applyBorder="1" applyAlignment="1">
      <alignment horizontal="left" vertical="center" wrapText="1"/>
      <protection/>
    </xf>
    <xf numFmtId="49" fontId="4" fillId="0" borderId="1" xfId="28" applyNumberFormat="1" applyFont="1" applyFill="1" applyBorder="1" applyAlignment="1">
      <alignment horizontal="left" vertical="center"/>
      <protection/>
    </xf>
    <xf numFmtId="0" fontId="4" fillId="0" borderId="1" xfId="28" applyFont="1" applyFill="1" applyBorder="1" applyAlignment="1">
      <alignment horizontal="justify" vertical="center" wrapText="1"/>
      <protection/>
    </xf>
    <xf numFmtId="169" fontId="4" fillId="0" borderId="1" xfId="28" applyNumberFormat="1" applyFont="1" applyFill="1" applyBorder="1" applyAlignment="1">
      <alignment horizontal="center" vertical="center"/>
      <protection/>
    </xf>
    <xf numFmtId="49" fontId="3" fillId="0" borderId="1" xfId="28" applyNumberFormat="1" applyFont="1" applyFill="1" applyBorder="1" applyAlignment="1">
      <alignment horizontal="left" vertical="center"/>
      <protection/>
    </xf>
    <xf numFmtId="0" fontId="3" fillId="0" borderId="1" xfId="28" applyFont="1" applyFill="1" applyBorder="1" applyAlignment="1">
      <alignment horizontal="justify" vertical="center" wrapText="1"/>
      <protection/>
    </xf>
    <xf numFmtId="169" fontId="3" fillId="0" borderId="1" xfId="28" applyNumberFormat="1" applyFont="1" applyFill="1" applyBorder="1" applyAlignment="1">
      <alignment horizontal="center" vertical="center"/>
      <protection/>
    </xf>
    <xf numFmtId="0" fontId="3" fillId="0" borderId="1" xfId="28" applyFont="1" applyFill="1" applyBorder="1" applyAlignment="1">
      <alignment horizontal="left" vertical="center" wrapText="1"/>
      <protection/>
    </xf>
    <xf numFmtId="49" fontId="3" fillId="0" borderId="1" xfId="28" applyNumberFormat="1" applyFont="1" applyBorder="1" applyAlignment="1">
      <alignment horizontal="left" vertical="center"/>
      <protection/>
    </xf>
    <xf numFmtId="169" fontId="3" fillId="0" borderId="1" xfId="28" applyNumberFormat="1" applyFont="1" applyFill="1" applyBorder="1" applyAlignment="1">
      <alignment horizontal="center" vertical="center" wrapText="1"/>
      <protection/>
    </xf>
    <xf numFmtId="169" fontId="4" fillId="0" borderId="1" xfId="28" applyNumberFormat="1" applyFont="1" applyFill="1" applyBorder="1" applyAlignment="1">
      <alignment horizontal="center" vertical="center" wrapText="1"/>
      <protection/>
    </xf>
    <xf numFmtId="49" fontId="3" fillId="0" borderId="1" xfId="28" applyNumberFormat="1" applyFont="1" applyBorder="1" applyAlignment="1">
      <alignment/>
      <protection/>
    </xf>
    <xf numFmtId="0" fontId="3" fillId="0" borderId="1" xfId="28" applyFont="1" applyBorder="1" applyAlignment="1">
      <alignment wrapText="1"/>
      <protection/>
    </xf>
    <xf numFmtId="0" fontId="3" fillId="0" borderId="1" xfId="28" applyFont="1" applyBorder="1" applyAlignment="1">
      <alignment horizontal="left" vertical="center"/>
      <protection/>
    </xf>
    <xf numFmtId="0" fontId="4" fillId="0" borderId="1" xfId="28" applyFont="1" applyFill="1" applyBorder="1" applyAlignment="1">
      <alignment horizontal="left" vertical="center" wrapText="1"/>
      <protection/>
    </xf>
    <xf numFmtId="3" fontId="3" fillId="0" borderId="1" xfId="28" applyNumberFormat="1" applyFont="1" applyBorder="1" applyAlignment="1">
      <alignment horizontal="left" vertical="center" wrapText="1"/>
      <protection/>
    </xf>
    <xf numFmtId="0" fontId="4" fillId="0" borderId="1" xfId="28" applyNumberFormat="1" applyFont="1" applyFill="1" applyBorder="1" applyAlignment="1" applyProtection="1">
      <alignment horizontal="left" vertical="center"/>
      <protection/>
    </xf>
    <xf numFmtId="0" fontId="4" fillId="0" borderId="1" xfId="28" applyNumberFormat="1" applyFont="1" applyFill="1" applyBorder="1" applyAlignment="1" applyProtection="1">
      <alignment horizontal="justify" vertical="center" wrapText="1"/>
      <protection/>
    </xf>
    <xf numFmtId="0" fontId="3" fillId="0" borderId="1" xfId="28" applyNumberFormat="1" applyFont="1" applyBorder="1" applyAlignment="1">
      <alignment horizontal="left" vertical="center" wrapText="1"/>
      <protection/>
    </xf>
    <xf numFmtId="0" fontId="3" fillId="0" borderId="1" xfId="28" applyFont="1" applyBorder="1" applyAlignment="1">
      <alignment horizontal="justify" vertical="center" wrapText="1"/>
      <protection/>
    </xf>
    <xf numFmtId="0" fontId="4" fillId="0" borderId="1" xfId="28" applyFont="1" applyBorder="1" applyAlignment="1">
      <alignment horizontal="left" vertical="center" wrapText="1"/>
      <protection/>
    </xf>
    <xf numFmtId="0" fontId="4" fillId="0" borderId="1" xfId="28" applyFont="1" applyBorder="1" applyAlignment="1">
      <alignment horizontal="justify" vertical="center" wrapText="1"/>
      <protection/>
    </xf>
    <xf numFmtId="0" fontId="3" fillId="0" borderId="1" xfId="28" applyNumberFormat="1" applyFont="1" applyFill="1" applyBorder="1" applyAlignment="1" applyProtection="1">
      <alignment horizontal="left" vertical="center"/>
      <protection/>
    </xf>
    <xf numFmtId="0" fontId="3" fillId="0" borderId="0" xfId="28" applyFont="1" applyFill="1" applyBorder="1" applyAlignment="1" quotePrefix="1">
      <alignment horizontal="left" vertical="center"/>
      <protection/>
    </xf>
    <xf numFmtId="0" fontId="3" fillId="0" borderId="1" xfId="28" applyNumberFormat="1" applyFont="1" applyFill="1" applyBorder="1" applyAlignment="1" applyProtection="1">
      <alignment horizontal="justify" vertical="center" wrapText="1"/>
      <protection/>
    </xf>
    <xf numFmtId="0" fontId="4" fillId="0" borderId="1" xfId="28" applyNumberFormat="1" applyFont="1" applyFill="1" applyBorder="1" applyAlignment="1" applyProtection="1">
      <alignment horizontal="left" vertical="center" wrapText="1"/>
      <protection/>
    </xf>
    <xf numFmtId="0" fontId="3" fillId="0" borderId="1" xfId="28" applyNumberFormat="1" applyFont="1" applyFill="1" applyBorder="1" applyAlignment="1" applyProtection="1">
      <alignment horizontal="left" vertical="center" wrapText="1"/>
      <protection/>
    </xf>
    <xf numFmtId="49" fontId="4" fillId="0" borderId="1" xfId="28" applyNumberFormat="1" applyFont="1" applyBorder="1">
      <alignment/>
      <protection/>
    </xf>
    <xf numFmtId="49" fontId="4" fillId="0" borderId="1" xfId="28" applyNumberFormat="1" applyFont="1" applyBorder="1" applyAlignment="1">
      <alignment vertical="center" wrapText="1"/>
      <protection/>
    </xf>
    <xf numFmtId="49" fontId="3" fillId="0" borderId="1" xfId="28" applyNumberFormat="1" applyFont="1" applyBorder="1">
      <alignment/>
      <protection/>
    </xf>
    <xf numFmtId="49" fontId="3" fillId="0" borderId="1" xfId="28" applyNumberFormat="1" applyFont="1" applyBorder="1" applyAlignment="1">
      <alignment vertical="center" wrapText="1"/>
      <protection/>
    </xf>
    <xf numFmtId="0" fontId="3" fillId="0" borderId="0" xfId="28" applyFont="1" applyFill="1" applyBorder="1" applyAlignment="1">
      <alignment horizontal="left" vertical="center" wrapText="1"/>
      <protection/>
    </xf>
    <xf numFmtId="0" fontId="3" fillId="2" borderId="0" xfId="20" applyFont="1" applyFill="1" applyAlignment="1">
      <alignment horizontal="center" vertical="center" wrapText="1"/>
      <protection/>
    </xf>
    <xf numFmtId="0" fontId="3" fillId="0" borderId="0" xfId="20" applyFont="1" applyAlignment="1">
      <alignment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0" xfId="20" applyFont="1" applyAlignment="1">
      <alignment/>
      <protection/>
    </xf>
    <xf numFmtId="0" fontId="22" fillId="0" borderId="1" xfId="20" applyFont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justify" vertical="center" wrapText="1"/>
      <protection/>
    </xf>
    <xf numFmtId="0" fontId="23" fillId="0" borderId="1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justify" vertical="center" wrapText="1"/>
      <protection/>
    </xf>
    <xf numFmtId="0" fontId="3" fillId="0" borderId="1" xfId="20" applyNumberFormat="1" applyFont="1" applyFill="1" applyBorder="1" applyAlignment="1" applyProtection="1">
      <alignment horizontal="justify" vertical="center" wrapText="1"/>
      <protection/>
    </xf>
    <xf numFmtId="4" fontId="3" fillId="0" borderId="0" xfId="20" applyNumberFormat="1" applyFont="1" applyAlignment="1">
      <alignment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169" fontId="4" fillId="0" borderId="0" xfId="20" applyNumberFormat="1" applyFont="1" applyAlignment="1">
      <alignment/>
      <protection/>
    </xf>
    <xf numFmtId="49" fontId="23" fillId="2" borderId="1" xfId="20" applyNumberFormat="1" applyFont="1" applyFill="1" applyBorder="1" applyAlignment="1">
      <alignment horizontal="center" vertical="center" shrinkToFit="1"/>
      <protection/>
    </xf>
    <xf numFmtId="2" fontId="3" fillId="2" borderId="1" xfId="20" applyNumberFormat="1" applyFont="1" applyFill="1" applyBorder="1" applyAlignment="1">
      <alignment horizontal="center" vertical="center" shrinkToFit="1"/>
      <protection/>
    </xf>
    <xf numFmtId="4" fontId="4" fillId="0" borderId="0" xfId="20" applyNumberFormat="1" applyFont="1" applyAlignment="1">
      <alignment/>
      <protection/>
    </xf>
    <xf numFmtId="49" fontId="4" fillId="2" borderId="1" xfId="20" applyNumberFormat="1" applyFont="1" applyFill="1" applyBorder="1" applyAlignment="1">
      <alignment horizontal="center" vertical="center" shrinkToFit="1"/>
      <protection/>
    </xf>
    <xf numFmtId="49" fontId="3" fillId="2" borderId="1" xfId="20" applyNumberFormat="1" applyFont="1" applyFill="1" applyBorder="1" applyAlignment="1">
      <alignment horizontal="center" vertical="center" shrinkToFit="1"/>
      <protection/>
    </xf>
    <xf numFmtId="49" fontId="22" fillId="2" borderId="1" xfId="20" applyNumberFormat="1" applyFont="1" applyFill="1" applyBorder="1" applyAlignment="1">
      <alignment horizontal="center" vertical="center" shrinkToFit="1"/>
      <protection/>
    </xf>
    <xf numFmtId="0" fontId="3" fillId="0" borderId="0" xfId="20" applyFont="1" applyAlignment="1">
      <alignment horizontal="center" vertical="center"/>
      <protection/>
    </xf>
    <xf numFmtId="169" fontId="3" fillId="0" borderId="0" xfId="20" applyNumberFormat="1" applyFont="1" applyFill="1" applyAlignment="1">
      <alignment/>
      <protection/>
    </xf>
    <xf numFmtId="0" fontId="3" fillId="0" borderId="0" xfId="20" applyFont="1">
      <alignment/>
      <protection/>
    </xf>
    <xf numFmtId="0" fontId="4" fillId="0" borderId="3" xfId="20" applyNumberFormat="1" applyFont="1" applyBorder="1" applyAlignment="1">
      <alignment horizontal="center" vertical="center" wrapText="1"/>
      <protection/>
    </xf>
    <xf numFmtId="169" fontId="3" fillId="0" borderId="1" xfId="20" applyNumberFormat="1" applyFont="1" applyFill="1" applyBorder="1" applyAlignment="1">
      <alignment horizontal="center" vertical="center" shrinkToFit="1"/>
      <protection/>
    </xf>
    <xf numFmtId="0" fontId="3" fillId="2" borderId="1" xfId="20" applyFont="1" applyFill="1" applyBorder="1" applyAlignment="1">
      <alignment horizontal="justify" vertical="center" wrapText="1"/>
      <protection/>
    </xf>
    <xf numFmtId="49" fontId="3" fillId="0" borderId="1" xfId="20" applyNumberFormat="1" applyFont="1" applyBorder="1" applyAlignment="1">
      <alignment horizontal="justify" vertical="center" wrapText="1"/>
      <protection/>
    </xf>
    <xf numFmtId="169" fontId="4" fillId="0" borderId="1" xfId="20" applyNumberFormat="1" applyFont="1" applyFill="1" applyBorder="1" applyAlignment="1">
      <alignment horizontal="center" vertical="center" shrinkToFit="1"/>
      <protection/>
    </xf>
    <xf numFmtId="169" fontId="3" fillId="0" borderId="0" xfId="20" applyNumberFormat="1" applyFont="1" applyFill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3" fillId="0" borderId="0" xfId="20" applyFont="1" applyAlignment="1">
      <alignment vertical="center"/>
      <protection/>
    </xf>
    <xf numFmtId="2" fontId="3" fillId="0" borderId="1" xfId="20" applyNumberFormat="1" applyFont="1" applyFill="1" applyBorder="1" applyAlignment="1">
      <alignment horizontal="center" vertical="center" shrinkToFit="1"/>
      <protection/>
    </xf>
    <xf numFmtId="169" fontId="3" fillId="0" borderId="1" xfId="20" applyNumberFormat="1" applyFont="1" applyFill="1" applyBorder="1" applyAlignment="1">
      <alignment horizontal="center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26" applyFont="1" applyFill="1" applyBorder="1" applyAlignment="1">
      <alignment horizontal="center" vertical="center" wrapText="1"/>
      <protection/>
    </xf>
    <xf numFmtId="49" fontId="4" fillId="0" borderId="1" xfId="0" applyNumberFormat="1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17" fillId="0" borderId="0" xfId="0" applyFont="1" applyAlignment="1">
      <alignment horizontal="right"/>
    </xf>
    <xf numFmtId="0" fontId="19" fillId="0" borderId="0" xfId="27" applyFont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0" borderId="0" xfId="27" applyFont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17" fillId="0" borderId="0" xfId="28" applyFont="1" applyFill="1" applyBorder="1" applyAlignment="1">
      <alignment horizontal="right" vertical="center"/>
      <protection/>
    </xf>
    <xf numFmtId="0" fontId="20" fillId="0" borderId="0" xfId="28" applyNumberFormat="1" applyFont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top" wrapText="1"/>
      <protection/>
    </xf>
    <xf numFmtId="49" fontId="4" fillId="2" borderId="1" xfId="20" applyNumberFormat="1" applyFont="1" applyFill="1" applyBorder="1" applyAlignment="1">
      <alignment horizontal="center" vertical="top" wrapText="1"/>
      <protection/>
    </xf>
    <xf numFmtId="0" fontId="4" fillId="0" borderId="1" xfId="20" applyFont="1" applyBorder="1" applyAlignment="1">
      <alignment horizontal="center" wrapText="1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top" wrapText="1"/>
      <protection/>
    </xf>
    <xf numFmtId="49" fontId="4" fillId="0" borderId="1" xfId="20" applyNumberFormat="1" applyFont="1" applyBorder="1" applyAlignment="1">
      <alignment horizontal="center" vertical="center" wrapText="1"/>
      <protection/>
    </xf>
    <xf numFmtId="0" fontId="17" fillId="0" borderId="0" xfId="20" applyFont="1" applyAlignment="1">
      <alignment horizontal="right"/>
      <protection/>
    </xf>
    <xf numFmtId="0" fontId="4" fillId="2" borderId="0" xfId="20" applyFont="1" applyFill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169" fontId="3" fillId="0" borderId="1" xfId="20" applyNumberFormat="1" applyFont="1" applyFill="1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horizontal="justify" vertical="center" wrapText="1"/>
      <protection/>
    </xf>
    <xf numFmtId="49" fontId="4" fillId="2" borderId="1" xfId="20" applyNumberFormat="1" applyFont="1" applyFill="1" applyBorder="1" applyAlignment="1">
      <alignment horizontal="left" vertical="top" shrinkToFit="1"/>
      <protection/>
    </xf>
    <xf numFmtId="0" fontId="17" fillId="0" borderId="0" xfId="20" applyNumberFormat="1" applyFont="1" applyBorder="1" applyAlignment="1">
      <alignment horizontal="right"/>
      <protection/>
    </xf>
    <xf numFmtId="0" fontId="4" fillId="0" borderId="0" xfId="20" applyNumberFormat="1" applyFont="1" applyBorder="1" applyAlignment="1">
      <alignment horizontal="center" vertical="center" wrapText="1"/>
      <protection/>
    </xf>
    <xf numFmtId="0" fontId="17" fillId="2" borderId="1" xfId="20" applyFont="1" applyFill="1" applyBorder="1" applyAlignment="1">
      <alignment horizontal="center" vertical="center" wrapText="1"/>
      <protection/>
    </xf>
    <xf numFmtId="169" fontId="17" fillId="0" borderId="1" xfId="2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 shrinkToFit="1"/>
    </xf>
    <xf numFmtId="0" fontId="17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164" fontId="17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164" fontId="1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26" applyFont="1" applyBorder="1" applyAlignment="1">
      <alignment horizontal="center" vertical="center" wrapText="1"/>
      <protection/>
    </xf>
    <xf numFmtId="0" fontId="3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17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wrapText="1"/>
    </xf>
    <xf numFmtId="0" fontId="3" fillId="0" borderId="0" xfId="26" applyFont="1" applyAlignment="1">
      <alignment horizontal="center" vertical="top" wrapText="1"/>
      <protection/>
    </xf>
    <xf numFmtId="0" fontId="3" fillId="0" borderId="0" xfId="26" applyFont="1" applyAlignment="1">
      <alignment horizontal="left" vertical="top" wrapText="1"/>
      <protection/>
    </xf>
    <xf numFmtId="0" fontId="3" fillId="0" borderId="0" xfId="26" applyFont="1" applyAlignment="1">
      <alignment vertical="top"/>
      <protection/>
    </xf>
    <xf numFmtId="41" fontId="17" fillId="0" borderId="0" xfId="25" applyFont="1" applyAlignment="1">
      <alignment horizontal="right" vertical="top" wrapText="1"/>
    </xf>
    <xf numFmtId="0" fontId="17" fillId="0" borderId="0" xfId="26" applyFont="1" applyAlignment="1">
      <alignment horizontal="right" vertical="top" wrapText="1"/>
      <protection/>
    </xf>
    <xf numFmtId="0" fontId="4" fillId="0" borderId="0" xfId="26" applyFont="1" applyAlignment="1">
      <alignment horizontal="center" vertical="top" wrapText="1"/>
      <protection/>
    </xf>
    <xf numFmtId="0" fontId="3" fillId="0" borderId="0" xfId="26" applyFont="1" applyAlignment="1">
      <alignment horizontal="left" vertical="center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_Прилож. № (общее образ) " xfId="22"/>
    <cellStyle name="Обычный 4" xfId="23"/>
    <cellStyle name="Финансовый" xfId="24"/>
    <cellStyle name="Финансовый [0]" xfId="25"/>
    <cellStyle name="Обычный_приложение_Программа госзаимствований 2003" xfId="26"/>
    <cellStyle name="Обычный_Лист1" xfId="27"/>
    <cellStyle name="Обычный 5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view="pageBreakPreview" zoomScaleSheetLayoutView="100" workbookViewId="0" topLeftCell="A1">
      <selection activeCell="B9" sqref="B9"/>
    </sheetView>
  </sheetViews>
  <sheetFormatPr defaultColWidth="9.125" defaultRowHeight="12.75"/>
  <cols>
    <col min="1" max="1" width="33.00390625" style="72" customWidth="1"/>
    <col min="2" max="2" width="52.50390625" style="72" customWidth="1"/>
    <col min="3" max="3" width="14.375" style="268" customWidth="1"/>
    <col min="4" max="4" width="13.50390625" style="72" customWidth="1"/>
    <col min="5" max="16384" width="9.125" style="72" customWidth="1"/>
  </cols>
  <sheetData>
    <row r="1" spans="1:4" ht="12.75">
      <c r="A1" s="278" t="s">
        <v>467</v>
      </c>
      <c r="B1" s="278"/>
      <c r="C1" s="278"/>
      <c r="D1" s="278"/>
    </row>
    <row r="2" spans="1:4" ht="12.75">
      <c r="A2" s="278" t="s">
        <v>448</v>
      </c>
      <c r="B2" s="278"/>
      <c r="C2" s="278"/>
      <c r="D2" s="278"/>
    </row>
    <row r="3" spans="1:4" ht="12.75">
      <c r="A3" s="278" t="s">
        <v>1132</v>
      </c>
      <c r="B3" s="278"/>
      <c r="C3" s="278"/>
      <c r="D3" s="278"/>
    </row>
    <row r="5" spans="1:4" ht="12.75">
      <c r="A5" s="279" t="s">
        <v>468</v>
      </c>
      <c r="B5" s="279"/>
      <c r="C5" s="279"/>
      <c r="D5" s="279"/>
    </row>
    <row r="6" spans="1:4" ht="12.75">
      <c r="A6" s="279" t="s">
        <v>571</v>
      </c>
      <c r="B6" s="279"/>
      <c r="C6" s="279"/>
      <c r="D6" s="279"/>
    </row>
    <row r="8" ht="12.75">
      <c r="D8" s="72" t="s">
        <v>565</v>
      </c>
    </row>
    <row r="9" spans="1:4" ht="50.4">
      <c r="A9" s="127" t="s">
        <v>469</v>
      </c>
      <c r="B9" s="196" t="s">
        <v>384</v>
      </c>
      <c r="C9" s="194" t="s">
        <v>558</v>
      </c>
      <c r="D9" s="197" t="s">
        <v>559</v>
      </c>
    </row>
    <row r="10" spans="1:4" ht="12.75">
      <c r="A10" s="127" t="s">
        <v>361</v>
      </c>
      <c r="B10" s="196">
        <v>2</v>
      </c>
      <c r="C10" s="196">
        <v>3</v>
      </c>
      <c r="D10" s="28">
        <v>4</v>
      </c>
    </row>
    <row r="11" spans="1:4" ht="33.6">
      <c r="A11" s="107" t="s">
        <v>470</v>
      </c>
      <c r="B11" s="108" t="s">
        <v>471</v>
      </c>
      <c r="C11" s="109">
        <f>C12</f>
        <v>-12000</v>
      </c>
      <c r="D11" s="109">
        <f>D12</f>
        <v>-12000</v>
      </c>
    </row>
    <row r="12" spans="1:11" ht="67.2">
      <c r="A12" s="16" t="s">
        <v>1121</v>
      </c>
      <c r="B12" s="110" t="s">
        <v>472</v>
      </c>
      <c r="C12" s="111">
        <f>C13</f>
        <v>-12000</v>
      </c>
      <c r="D12" s="111">
        <f aca="true" t="shared" si="0" ref="D12">D13</f>
        <v>-12000</v>
      </c>
      <c r="K12" s="72" t="s">
        <v>570</v>
      </c>
    </row>
    <row r="13" spans="1:4" ht="71.4" customHeight="1">
      <c r="A13" s="16" t="s">
        <v>1122</v>
      </c>
      <c r="B13" s="110" t="s">
        <v>473</v>
      </c>
      <c r="C13" s="111">
        <v>-12000</v>
      </c>
      <c r="D13" s="111">
        <v>-12000</v>
      </c>
    </row>
    <row r="14" spans="1:4" ht="33.6">
      <c r="A14" s="107" t="s">
        <v>474</v>
      </c>
      <c r="B14" s="108" t="s">
        <v>475</v>
      </c>
      <c r="C14" s="109">
        <v>31322.1</v>
      </c>
      <c r="D14" s="109">
        <f>D15+D18</f>
        <v>16276.199999999953</v>
      </c>
    </row>
    <row r="15" spans="1:4" ht="21.6" customHeight="1">
      <c r="A15" s="16" t="s">
        <v>476</v>
      </c>
      <c r="B15" s="110" t="s">
        <v>477</v>
      </c>
      <c r="C15" s="111">
        <f aca="true" t="shared" si="1" ref="C15:D16">C16</f>
        <v>-666501</v>
      </c>
      <c r="D15" s="111">
        <f t="shared" si="1"/>
        <v>-673539.4</v>
      </c>
    </row>
    <row r="16" spans="1:4" ht="21.6" customHeight="1">
      <c r="A16" s="16" t="s">
        <v>478</v>
      </c>
      <c r="B16" s="110" t="s">
        <v>479</v>
      </c>
      <c r="C16" s="111">
        <f t="shared" si="1"/>
        <v>-666501</v>
      </c>
      <c r="D16" s="111">
        <f t="shared" si="1"/>
        <v>-673539.4</v>
      </c>
    </row>
    <row r="17" spans="1:4" ht="21.6" customHeight="1">
      <c r="A17" s="16" t="s">
        <v>480</v>
      </c>
      <c r="B17" s="110" t="s">
        <v>481</v>
      </c>
      <c r="C17" s="21">
        <v>-666501</v>
      </c>
      <c r="D17" s="111">
        <v>-673539.4</v>
      </c>
    </row>
    <row r="18" spans="1:4" ht="21.6" customHeight="1">
      <c r="A18" s="16" t="s">
        <v>482</v>
      </c>
      <c r="B18" s="110" t="s">
        <v>483</v>
      </c>
      <c r="C18" s="21">
        <f aca="true" t="shared" si="2" ref="C18:D19">C19</f>
        <v>700790.2999999998</v>
      </c>
      <c r="D18" s="111">
        <f t="shared" si="2"/>
        <v>689815.6</v>
      </c>
    </row>
    <row r="19" spans="1:4" ht="21.6" customHeight="1">
      <c r="A19" s="16" t="s">
        <v>484</v>
      </c>
      <c r="B19" s="110" t="s">
        <v>485</v>
      </c>
      <c r="C19" s="21">
        <f t="shared" si="2"/>
        <v>700790.2999999998</v>
      </c>
      <c r="D19" s="111">
        <f t="shared" si="2"/>
        <v>689815.6</v>
      </c>
    </row>
    <row r="20" spans="1:4" ht="21.6" customHeight="1">
      <c r="A20" s="16" t="s">
        <v>486</v>
      </c>
      <c r="B20" s="110" t="s">
        <v>487</v>
      </c>
      <c r="C20" s="21">
        <f>12000+'№7 Р.П'!C10</f>
        <v>700790.2999999998</v>
      </c>
      <c r="D20" s="111">
        <v>689815.6</v>
      </c>
    </row>
    <row r="21" spans="1:4" ht="24.6" customHeight="1">
      <c r="A21" s="277" t="s">
        <v>488</v>
      </c>
      <c r="B21" s="277"/>
      <c r="C21" s="109">
        <f>C14+C11</f>
        <v>19322.1</v>
      </c>
      <c r="D21" s="109">
        <f>D14+D11</f>
        <v>4276.199999999953</v>
      </c>
    </row>
    <row r="23" spans="1:2" ht="12.75">
      <c r="A23" s="112"/>
      <c r="B23" s="113"/>
    </row>
    <row r="24" ht="12.75">
      <c r="B24" s="269"/>
    </row>
  </sheetData>
  <mergeCells count="6">
    <mergeCell ref="A21:B21"/>
    <mergeCell ref="A1:D1"/>
    <mergeCell ref="A2:D2"/>
    <mergeCell ref="A3:D3"/>
    <mergeCell ref="A5:D5"/>
    <mergeCell ref="A6:D6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workbookViewId="0" topLeftCell="A1">
      <selection activeCell="H7" sqref="H7"/>
    </sheetView>
  </sheetViews>
  <sheetFormatPr defaultColWidth="9.125" defaultRowHeight="12.75"/>
  <cols>
    <col min="1" max="1" width="7.125" style="63" customWidth="1"/>
    <col min="2" max="2" width="10.125" style="38" customWidth="1"/>
    <col min="3" max="3" width="7.00390625" style="44" customWidth="1"/>
    <col min="4" max="4" width="69.875" style="1" customWidth="1"/>
    <col min="5" max="5" width="14.375" style="48" customWidth="1"/>
    <col min="6" max="6" width="13.25390625" style="48" customWidth="1"/>
    <col min="7" max="16384" width="9.125" style="1" customWidth="1"/>
  </cols>
  <sheetData>
    <row r="1" spans="1:6" ht="12.75">
      <c r="A1" s="184"/>
      <c r="B1" s="188"/>
      <c r="C1" s="186"/>
      <c r="D1" s="187"/>
      <c r="E1" s="319" t="s">
        <v>576</v>
      </c>
      <c r="F1" s="319"/>
    </row>
    <row r="2" spans="1:6" ht="12.75">
      <c r="A2" s="184"/>
      <c r="B2" s="320" t="s">
        <v>378</v>
      </c>
      <c r="C2" s="320"/>
      <c r="D2" s="320"/>
      <c r="E2" s="320"/>
      <c r="F2" s="320"/>
    </row>
    <row r="3" spans="1:6" ht="12.75">
      <c r="A3" s="321" t="s">
        <v>1137</v>
      </c>
      <c r="B3" s="321"/>
      <c r="C3" s="321"/>
      <c r="D3" s="321"/>
      <c r="E3" s="321"/>
      <c r="F3" s="321"/>
    </row>
    <row r="4" spans="1:6" ht="12.75">
      <c r="A4" s="64"/>
      <c r="B4" s="39"/>
      <c r="C4" s="45"/>
      <c r="D4" s="33"/>
      <c r="E4" s="49"/>
      <c r="F4" s="49"/>
    </row>
    <row r="5" spans="1:6" s="34" customFormat="1" ht="54.6" customHeight="1">
      <c r="A5" s="318" t="s">
        <v>568</v>
      </c>
      <c r="B5" s="318"/>
      <c r="C5" s="318"/>
      <c r="D5" s="318"/>
      <c r="E5" s="318"/>
      <c r="F5" s="318"/>
    </row>
    <row r="6" spans="1:6" ht="12.75">
      <c r="A6" s="65"/>
      <c r="B6" s="40"/>
      <c r="C6" s="46"/>
      <c r="D6" s="32"/>
      <c r="E6" s="50"/>
      <c r="F6" s="179" t="s">
        <v>565</v>
      </c>
    </row>
    <row r="7" spans="1:6" ht="50.4">
      <c r="A7" s="129" t="s">
        <v>285</v>
      </c>
      <c r="B7" s="129" t="s">
        <v>284</v>
      </c>
      <c r="C7" s="129" t="s">
        <v>381</v>
      </c>
      <c r="D7" s="124" t="s">
        <v>384</v>
      </c>
      <c r="E7" s="167" t="s">
        <v>558</v>
      </c>
      <c r="F7" s="149" t="s">
        <v>559</v>
      </c>
    </row>
    <row r="8" spans="1:6" ht="12.75">
      <c r="A8" s="28">
        <v>1</v>
      </c>
      <c r="B8" s="41" t="s">
        <v>67</v>
      </c>
      <c r="C8" s="29">
        <v>3</v>
      </c>
      <c r="D8" s="28">
        <v>4</v>
      </c>
      <c r="E8" s="53">
        <v>5</v>
      </c>
      <c r="F8" s="53">
        <v>6</v>
      </c>
    </row>
    <row r="9" spans="1:6" s="36" customFormat="1" ht="12.75">
      <c r="A9" s="66"/>
      <c r="B9" s="42"/>
      <c r="C9" s="47"/>
      <c r="D9" s="35" t="s">
        <v>341</v>
      </c>
      <c r="E9" s="52">
        <f>E10+E17+E22+E27+E34+E41+E46+E52+E67+E72+E81</f>
        <v>688790.3</v>
      </c>
      <c r="F9" s="52">
        <f>F10+F17+F22+F27+F34+F41+F46+F52+F67+F72+F81</f>
        <v>663467.1000000001</v>
      </c>
    </row>
    <row r="10" spans="1:6" s="36" customFormat="1" ht="50.4">
      <c r="A10" s="26" t="s">
        <v>286</v>
      </c>
      <c r="B10" s="26"/>
      <c r="C10" s="26"/>
      <c r="D10" s="27" t="s">
        <v>79</v>
      </c>
      <c r="E10" s="52">
        <f>E11+E13+E15</f>
        <v>433022.2000000001</v>
      </c>
      <c r="F10" s="52">
        <f>F11+F13+F15</f>
        <v>428076.00000000006</v>
      </c>
    </row>
    <row r="11" spans="1:6" ht="33.6">
      <c r="A11" s="25" t="s">
        <v>286</v>
      </c>
      <c r="B11" s="25" t="s">
        <v>361</v>
      </c>
      <c r="C11" s="25"/>
      <c r="D11" s="23" t="s">
        <v>80</v>
      </c>
      <c r="E11" s="126">
        <f>E12</f>
        <v>412408.2000000001</v>
      </c>
      <c r="F11" s="126">
        <f>F12</f>
        <v>407483.8000000001</v>
      </c>
    </row>
    <row r="12" spans="1:6" ht="33.6">
      <c r="A12" s="25" t="s">
        <v>286</v>
      </c>
      <c r="B12" s="25" t="s">
        <v>361</v>
      </c>
      <c r="C12" s="25" t="s">
        <v>370</v>
      </c>
      <c r="D12" s="23" t="s">
        <v>371</v>
      </c>
      <c r="E12" s="126">
        <f>'№11 МП, цел.'!D11</f>
        <v>412408.2000000001</v>
      </c>
      <c r="F12" s="126">
        <f>'№11 МП, цел.'!E11</f>
        <v>407483.8000000001</v>
      </c>
    </row>
    <row r="13" spans="1:6" ht="50.4">
      <c r="A13" s="25" t="s">
        <v>286</v>
      </c>
      <c r="B13" s="43" t="s">
        <v>67</v>
      </c>
      <c r="C13" s="29"/>
      <c r="D13" s="23" t="s">
        <v>125</v>
      </c>
      <c r="E13" s="126">
        <f>E14</f>
        <v>5103.599999999999</v>
      </c>
      <c r="F13" s="126">
        <f>F14</f>
        <v>5103.599999999999</v>
      </c>
    </row>
    <row r="14" spans="1:6" ht="33.6">
      <c r="A14" s="25" t="s">
        <v>286</v>
      </c>
      <c r="B14" s="43" t="s">
        <v>67</v>
      </c>
      <c r="C14" s="25" t="s">
        <v>362</v>
      </c>
      <c r="D14" s="23" t="s">
        <v>367</v>
      </c>
      <c r="E14" s="126">
        <f>'№11 МП, цел.'!D65</f>
        <v>5103.599999999999</v>
      </c>
      <c r="F14" s="126">
        <f>'№11 МП, цел.'!E65</f>
        <v>5103.599999999999</v>
      </c>
    </row>
    <row r="15" spans="1:6" ht="12.75">
      <c r="A15" s="25" t="s">
        <v>286</v>
      </c>
      <c r="B15" s="8" t="s">
        <v>72</v>
      </c>
      <c r="C15" s="29"/>
      <c r="D15" s="23" t="s">
        <v>343</v>
      </c>
      <c r="E15" s="126">
        <f>E16</f>
        <v>15510.4</v>
      </c>
      <c r="F15" s="126">
        <f>F16</f>
        <v>15488.599999999999</v>
      </c>
    </row>
    <row r="16" spans="1:6" ht="33.6">
      <c r="A16" s="43" t="s">
        <v>286</v>
      </c>
      <c r="B16" s="43" t="s">
        <v>72</v>
      </c>
      <c r="C16" s="25" t="s">
        <v>370</v>
      </c>
      <c r="D16" s="23" t="s">
        <v>371</v>
      </c>
      <c r="E16" s="126">
        <f>'№11 МП, цел.'!D84</f>
        <v>15510.4</v>
      </c>
      <c r="F16" s="126">
        <f>'№11 МП, цел.'!E84</f>
        <v>15488.599999999999</v>
      </c>
    </row>
    <row r="17" spans="1:6" s="36" customFormat="1" ht="50.4">
      <c r="A17" s="26" t="s">
        <v>287</v>
      </c>
      <c r="B17" s="26"/>
      <c r="C17" s="26"/>
      <c r="D17" s="27" t="s">
        <v>180</v>
      </c>
      <c r="E17" s="52">
        <f>E18+E20</f>
        <v>48493.6</v>
      </c>
      <c r="F17" s="52">
        <f>F18+F20</f>
        <v>42559.99999999999</v>
      </c>
    </row>
    <row r="18" spans="1:6" ht="33.6">
      <c r="A18" s="43" t="s">
        <v>287</v>
      </c>
      <c r="B18" s="3">
        <v>1</v>
      </c>
      <c r="C18" s="8"/>
      <c r="D18" s="23" t="s">
        <v>182</v>
      </c>
      <c r="E18" s="126">
        <f>E19</f>
        <v>40903.6</v>
      </c>
      <c r="F18" s="126">
        <f>F19</f>
        <v>40759.99999999999</v>
      </c>
    </row>
    <row r="19" spans="1:6" ht="12.75">
      <c r="A19" s="43" t="s">
        <v>287</v>
      </c>
      <c r="B19" s="3">
        <v>1</v>
      </c>
      <c r="C19" s="25" t="s">
        <v>385</v>
      </c>
      <c r="D19" s="23" t="s">
        <v>78</v>
      </c>
      <c r="E19" s="126">
        <f>'№11 МП, цел.'!D92</f>
        <v>40903.6</v>
      </c>
      <c r="F19" s="126">
        <f>'№11 МП, цел.'!E92</f>
        <v>40759.99999999999</v>
      </c>
    </row>
    <row r="20" spans="1:6" ht="33.6">
      <c r="A20" s="43" t="s">
        <v>287</v>
      </c>
      <c r="B20" s="31">
        <v>2</v>
      </c>
      <c r="C20" s="54"/>
      <c r="D20" s="23" t="s">
        <v>198</v>
      </c>
      <c r="E20" s="126">
        <f>E21</f>
        <v>7590</v>
      </c>
      <c r="F20" s="126">
        <f>F21</f>
        <v>1800</v>
      </c>
    </row>
    <row r="21" spans="1:6" ht="12.75">
      <c r="A21" s="43" t="s">
        <v>287</v>
      </c>
      <c r="B21" s="31">
        <v>2</v>
      </c>
      <c r="C21" s="25" t="s">
        <v>385</v>
      </c>
      <c r="D21" s="23" t="s">
        <v>78</v>
      </c>
      <c r="E21" s="126">
        <f>'№11 МП, цел.'!D121</f>
        <v>7590</v>
      </c>
      <c r="F21" s="126">
        <f>'№11 МП, цел.'!E121</f>
        <v>1800</v>
      </c>
    </row>
    <row r="22" spans="1:6" s="36" customFormat="1" ht="50.4">
      <c r="A22" s="26" t="s">
        <v>288</v>
      </c>
      <c r="B22" s="26"/>
      <c r="C22" s="26"/>
      <c r="D22" s="27" t="s">
        <v>142</v>
      </c>
      <c r="E22" s="52">
        <f>E23+E25</f>
        <v>25935.300000000003</v>
      </c>
      <c r="F22" s="52">
        <f>F23+F25</f>
        <v>25589.5</v>
      </c>
    </row>
    <row r="23" spans="1:6" ht="33.6">
      <c r="A23" s="43" t="s">
        <v>288</v>
      </c>
      <c r="B23" s="31">
        <v>1</v>
      </c>
      <c r="C23" s="54"/>
      <c r="D23" s="23" t="s">
        <v>144</v>
      </c>
      <c r="E23" s="126">
        <f>E24</f>
        <v>23739.7</v>
      </c>
      <c r="F23" s="126">
        <f>F24</f>
        <v>23406.8</v>
      </c>
    </row>
    <row r="24" spans="1:6" ht="33.6">
      <c r="A24" s="43" t="s">
        <v>288</v>
      </c>
      <c r="B24" s="31">
        <v>1</v>
      </c>
      <c r="C24" s="54" t="s">
        <v>362</v>
      </c>
      <c r="D24" s="23" t="s">
        <v>367</v>
      </c>
      <c r="E24" s="126">
        <f>'№11 МП, цел.'!D125</f>
        <v>23739.7</v>
      </c>
      <c r="F24" s="126">
        <f>'№11 МП, цел.'!E125</f>
        <v>23406.8</v>
      </c>
    </row>
    <row r="25" spans="1:6" ht="12.75">
      <c r="A25" s="43" t="s">
        <v>288</v>
      </c>
      <c r="B25" s="31">
        <v>9</v>
      </c>
      <c r="C25" s="54"/>
      <c r="D25" s="23" t="s">
        <v>343</v>
      </c>
      <c r="E25" s="126">
        <f>E26</f>
        <v>2195.6000000000004</v>
      </c>
      <c r="F25" s="126">
        <f>F26</f>
        <v>2182.7000000000003</v>
      </c>
    </row>
    <row r="26" spans="1:6" ht="33.6">
      <c r="A26" s="43" t="s">
        <v>288</v>
      </c>
      <c r="B26" s="31">
        <v>9</v>
      </c>
      <c r="C26" s="54" t="s">
        <v>362</v>
      </c>
      <c r="D26" s="23" t="s">
        <v>367</v>
      </c>
      <c r="E26" s="126">
        <f>'№11 МП, цел.'!D136</f>
        <v>2195.6000000000004</v>
      </c>
      <c r="F26" s="126">
        <f>'№11 МП, цел.'!E136</f>
        <v>2182.7000000000003</v>
      </c>
    </row>
    <row r="27" spans="1:6" s="36" customFormat="1" ht="67.2">
      <c r="A27" s="26" t="s">
        <v>289</v>
      </c>
      <c r="B27" s="26"/>
      <c r="C27" s="26"/>
      <c r="D27" s="27" t="s">
        <v>173</v>
      </c>
      <c r="E27" s="52">
        <f>E28+E30+E32</f>
        <v>31556.699999999997</v>
      </c>
      <c r="F27" s="52">
        <f>F28+F30+F32</f>
        <v>30314.800000000003</v>
      </c>
    </row>
    <row r="28" spans="1:6" ht="50.4">
      <c r="A28" s="43" t="s">
        <v>289</v>
      </c>
      <c r="B28" s="31" t="s">
        <v>361</v>
      </c>
      <c r="C28" s="54"/>
      <c r="D28" s="23" t="s">
        <v>263</v>
      </c>
      <c r="E28" s="126">
        <f>E29</f>
        <v>18848.1</v>
      </c>
      <c r="F28" s="126">
        <f>F29</f>
        <v>18805.4</v>
      </c>
    </row>
    <row r="29" spans="1:6" ht="12.75">
      <c r="A29" s="43" t="s">
        <v>289</v>
      </c>
      <c r="B29" s="31" t="s">
        <v>361</v>
      </c>
      <c r="C29" s="54" t="s">
        <v>385</v>
      </c>
      <c r="D29" s="23" t="s">
        <v>78</v>
      </c>
      <c r="E29" s="126">
        <f>'№11 МП, цел.'!D140</f>
        <v>18848.1</v>
      </c>
      <c r="F29" s="126">
        <f>'№11 МП, цел.'!E140</f>
        <v>18805.4</v>
      </c>
    </row>
    <row r="30" spans="1:6" ht="33.6">
      <c r="A30" s="43" t="s">
        <v>289</v>
      </c>
      <c r="B30" s="31" t="s">
        <v>67</v>
      </c>
      <c r="C30" s="54"/>
      <c r="D30" s="23" t="s">
        <v>258</v>
      </c>
      <c r="E30" s="126">
        <f>E31</f>
        <v>6287.1</v>
      </c>
      <c r="F30" s="126">
        <f>F31</f>
        <v>5088.2</v>
      </c>
    </row>
    <row r="31" spans="1:6" ht="33.6">
      <c r="A31" s="25" t="s">
        <v>289</v>
      </c>
      <c r="B31" s="8" t="s">
        <v>67</v>
      </c>
      <c r="C31" s="54" t="s">
        <v>362</v>
      </c>
      <c r="D31" s="23" t="s">
        <v>367</v>
      </c>
      <c r="E31" s="126">
        <f>'№11 МП, цел.'!D147</f>
        <v>6287.1</v>
      </c>
      <c r="F31" s="126">
        <f>'№11 МП, цел.'!E147</f>
        <v>5088.2</v>
      </c>
    </row>
    <row r="32" spans="1:6" ht="33.6">
      <c r="A32" s="25" t="s">
        <v>289</v>
      </c>
      <c r="B32" s="8" t="s">
        <v>68</v>
      </c>
      <c r="C32" s="54"/>
      <c r="D32" s="23" t="s">
        <v>174</v>
      </c>
      <c r="E32" s="126">
        <f>E33</f>
        <v>6421.5</v>
      </c>
      <c r="F32" s="126">
        <f>F33</f>
        <v>6421.2</v>
      </c>
    </row>
    <row r="33" spans="1:6" ht="33.6">
      <c r="A33" s="25" t="s">
        <v>289</v>
      </c>
      <c r="B33" s="8" t="s">
        <v>68</v>
      </c>
      <c r="C33" s="54" t="s">
        <v>15</v>
      </c>
      <c r="D33" s="23" t="s">
        <v>351</v>
      </c>
      <c r="E33" s="126">
        <f>'№11 МП, цел.'!D154</f>
        <v>6421.5</v>
      </c>
      <c r="F33" s="126">
        <f>'№11 МП, цел.'!E154</f>
        <v>6421.2</v>
      </c>
    </row>
    <row r="34" spans="1:6" s="36" customFormat="1" ht="50.4">
      <c r="A34" s="26" t="s">
        <v>158</v>
      </c>
      <c r="B34" s="26"/>
      <c r="C34" s="26"/>
      <c r="D34" s="27" t="s">
        <v>262</v>
      </c>
      <c r="E34" s="52">
        <f>E35+E37+E39</f>
        <v>18153.2</v>
      </c>
      <c r="F34" s="52">
        <f>F35+F37+F39</f>
        <v>13113.2</v>
      </c>
    </row>
    <row r="35" spans="1:6" ht="50.4">
      <c r="A35" s="25" t="s">
        <v>158</v>
      </c>
      <c r="B35" s="8" t="s">
        <v>67</v>
      </c>
      <c r="C35" s="55"/>
      <c r="D35" s="30" t="s">
        <v>268</v>
      </c>
      <c r="E35" s="126">
        <f>E36</f>
        <v>2670.8999999999996</v>
      </c>
      <c r="F35" s="126">
        <f>F36</f>
        <v>710.9000000000001</v>
      </c>
    </row>
    <row r="36" spans="1:6" ht="12.75">
      <c r="A36" s="25" t="s">
        <v>158</v>
      </c>
      <c r="B36" s="8" t="s">
        <v>67</v>
      </c>
      <c r="C36" s="16" t="s">
        <v>385</v>
      </c>
      <c r="D36" s="30" t="s">
        <v>78</v>
      </c>
      <c r="E36" s="126">
        <f>'№11 МП, цел.'!D160</f>
        <v>2670.8999999999996</v>
      </c>
      <c r="F36" s="126">
        <f>'№11 МП, цел.'!E160</f>
        <v>710.9000000000001</v>
      </c>
    </row>
    <row r="37" spans="1:6" ht="33.6">
      <c r="A37" s="25" t="s">
        <v>158</v>
      </c>
      <c r="B37" s="8" t="s">
        <v>68</v>
      </c>
      <c r="C37" s="16"/>
      <c r="D37" s="30" t="s">
        <v>271</v>
      </c>
      <c r="E37" s="126">
        <f>E38</f>
        <v>1882.3</v>
      </c>
      <c r="F37" s="126">
        <f>F38</f>
        <v>0</v>
      </c>
    </row>
    <row r="38" spans="1:6" ht="12.75">
      <c r="A38" s="25" t="s">
        <v>158</v>
      </c>
      <c r="B38" s="8" t="s">
        <v>68</v>
      </c>
      <c r="C38" s="16" t="s">
        <v>385</v>
      </c>
      <c r="D38" s="30" t="s">
        <v>78</v>
      </c>
      <c r="E38" s="126">
        <f>'№11 МП, цел.'!D167</f>
        <v>1882.3</v>
      </c>
      <c r="F38" s="126">
        <f>'№11 МП, цел.'!E167</f>
        <v>0</v>
      </c>
    </row>
    <row r="39" spans="1:6" ht="33.6">
      <c r="A39" s="25" t="s">
        <v>158</v>
      </c>
      <c r="B39" s="8" t="s">
        <v>69</v>
      </c>
      <c r="C39" s="55"/>
      <c r="D39" s="30" t="s">
        <v>273</v>
      </c>
      <c r="E39" s="126">
        <f>E40</f>
        <v>13600</v>
      </c>
      <c r="F39" s="126">
        <f>F40</f>
        <v>12402.300000000001</v>
      </c>
    </row>
    <row r="40" spans="1:6" ht="12.75">
      <c r="A40" s="25" t="s">
        <v>158</v>
      </c>
      <c r="B40" s="8" t="s">
        <v>69</v>
      </c>
      <c r="C40" s="16" t="s">
        <v>385</v>
      </c>
      <c r="D40" s="30" t="s">
        <v>78</v>
      </c>
      <c r="E40" s="126">
        <f>'№11 МП, цел.'!D170</f>
        <v>13600</v>
      </c>
      <c r="F40" s="126">
        <f>'№11 МП, цел.'!E170</f>
        <v>12402.300000000001</v>
      </c>
    </row>
    <row r="41" spans="1:6" s="36" customFormat="1" ht="50.4">
      <c r="A41" s="26" t="s">
        <v>290</v>
      </c>
      <c r="B41" s="26"/>
      <c r="C41" s="26"/>
      <c r="D41" s="27" t="s">
        <v>237</v>
      </c>
      <c r="E41" s="52">
        <f>E42+E44</f>
        <v>42861.399999999994</v>
      </c>
      <c r="F41" s="52">
        <f aca="true" t="shared" si="0" ref="F41">F42+F44</f>
        <v>41803.3</v>
      </c>
    </row>
    <row r="42" spans="1:6" ht="50.4">
      <c r="A42" s="25" t="s">
        <v>290</v>
      </c>
      <c r="B42" s="8" t="s">
        <v>361</v>
      </c>
      <c r="C42" s="55"/>
      <c r="D42" s="30" t="s">
        <v>239</v>
      </c>
      <c r="E42" s="126">
        <f aca="true" t="shared" si="1" ref="E42:F42">E43</f>
        <v>42442.7</v>
      </c>
      <c r="F42" s="126">
        <f t="shared" si="1"/>
        <v>41384.600000000006</v>
      </c>
    </row>
    <row r="43" spans="1:6" ht="12.75">
      <c r="A43" s="25" t="s">
        <v>290</v>
      </c>
      <c r="B43" s="8" t="s">
        <v>361</v>
      </c>
      <c r="C43" s="16" t="s">
        <v>385</v>
      </c>
      <c r="D43" s="30" t="s">
        <v>78</v>
      </c>
      <c r="E43" s="126">
        <f>'№11 МП, цел.'!D180</f>
        <v>42442.7</v>
      </c>
      <c r="F43" s="126">
        <f>'№11 МП, цел.'!E180</f>
        <v>41384.600000000006</v>
      </c>
    </row>
    <row r="44" spans="1:6" ht="50.4">
      <c r="A44" s="25" t="s">
        <v>290</v>
      </c>
      <c r="B44" s="8" t="s">
        <v>67</v>
      </c>
      <c r="C44" s="55"/>
      <c r="D44" s="9" t="s">
        <v>446</v>
      </c>
      <c r="E44" s="126">
        <f>E45</f>
        <v>418.70000000000005</v>
      </c>
      <c r="F44" s="126">
        <f aca="true" t="shared" si="2" ref="F44">F45</f>
        <v>418.7</v>
      </c>
    </row>
    <row r="45" spans="1:6" ht="12.75">
      <c r="A45" s="25" t="s">
        <v>290</v>
      </c>
      <c r="B45" s="8" t="s">
        <v>67</v>
      </c>
      <c r="C45" s="16" t="s">
        <v>385</v>
      </c>
      <c r="D45" s="30" t="s">
        <v>78</v>
      </c>
      <c r="E45" s="126">
        <f>'№11 МП, цел.'!D193</f>
        <v>418.70000000000005</v>
      </c>
      <c r="F45" s="126">
        <f>'№11 МП, цел.'!E193</f>
        <v>418.7</v>
      </c>
    </row>
    <row r="46" spans="1:6" s="36" customFormat="1" ht="50.4">
      <c r="A46" s="26" t="s">
        <v>291</v>
      </c>
      <c r="B46" s="26"/>
      <c r="C46" s="26"/>
      <c r="D46" s="27" t="s">
        <v>243</v>
      </c>
      <c r="E46" s="52">
        <f>E47+E50</f>
        <v>297.6</v>
      </c>
      <c r="F46" s="52">
        <f>F47+F50</f>
        <v>296.4</v>
      </c>
    </row>
    <row r="47" spans="1:6" ht="33.6">
      <c r="A47" s="25" t="s">
        <v>291</v>
      </c>
      <c r="B47" s="8" t="s">
        <v>361</v>
      </c>
      <c r="C47" s="55"/>
      <c r="D47" s="30" t="s">
        <v>244</v>
      </c>
      <c r="E47" s="126">
        <f>E48+E49</f>
        <v>190</v>
      </c>
      <c r="F47" s="126">
        <f>F48+F49</f>
        <v>188.8</v>
      </c>
    </row>
    <row r="48" spans="1:6" ht="12.75">
      <c r="A48" s="25" t="s">
        <v>291</v>
      </c>
      <c r="B48" s="8" t="s">
        <v>361</v>
      </c>
      <c r="C48" s="55" t="s">
        <v>385</v>
      </c>
      <c r="D48" s="30" t="s">
        <v>78</v>
      </c>
      <c r="E48" s="126">
        <f>'№11 МП, цел.'!D198+'№11 МП, цел.'!D200</f>
        <v>150</v>
      </c>
      <c r="F48" s="126">
        <f>'№11 МП, цел.'!E198+'№11 МП, цел.'!E200</f>
        <v>148.8</v>
      </c>
    </row>
    <row r="49" spans="1:6" ht="33.6">
      <c r="A49" s="25" t="s">
        <v>291</v>
      </c>
      <c r="B49" s="8" t="s">
        <v>361</v>
      </c>
      <c r="C49" s="55" t="s">
        <v>362</v>
      </c>
      <c r="D49" s="30" t="s">
        <v>367</v>
      </c>
      <c r="E49" s="126">
        <f>'№11 МП, цел.'!D203</f>
        <v>40</v>
      </c>
      <c r="F49" s="126">
        <f>'№11 МП, цел.'!E203</f>
        <v>40</v>
      </c>
    </row>
    <row r="50" spans="1:6" ht="33.6">
      <c r="A50" s="25" t="s">
        <v>291</v>
      </c>
      <c r="B50" s="8" t="s">
        <v>67</v>
      </c>
      <c r="C50" s="55"/>
      <c r="D50" s="30" t="s">
        <v>251</v>
      </c>
      <c r="E50" s="126">
        <f>E51</f>
        <v>107.60000000000001</v>
      </c>
      <c r="F50" s="126">
        <f>F51</f>
        <v>107.6</v>
      </c>
    </row>
    <row r="51" spans="1:6" ht="12.75">
      <c r="A51" s="25" t="s">
        <v>291</v>
      </c>
      <c r="B51" s="8" t="s">
        <v>67</v>
      </c>
      <c r="C51" s="55" t="s">
        <v>385</v>
      </c>
      <c r="D51" s="30" t="s">
        <v>78</v>
      </c>
      <c r="E51" s="126">
        <f>'№11 МП, цел.'!D204</f>
        <v>107.60000000000001</v>
      </c>
      <c r="F51" s="126">
        <f>'№11 МП, цел.'!E204</f>
        <v>107.6</v>
      </c>
    </row>
    <row r="52" spans="1:6" s="36" customFormat="1" ht="50.4">
      <c r="A52" s="26" t="s">
        <v>123</v>
      </c>
      <c r="B52" s="26"/>
      <c r="C52" s="26"/>
      <c r="D52" s="27" t="s">
        <v>322</v>
      </c>
      <c r="E52" s="52">
        <f>E53+E55+E57+E59+E61+E63+E65</f>
        <v>52078.200000000004</v>
      </c>
      <c r="F52" s="52">
        <f>F53+F55+F57+F59+F61+F63+F65</f>
        <v>51542.7</v>
      </c>
    </row>
    <row r="53" spans="1:6" ht="50.4">
      <c r="A53" s="25" t="s">
        <v>123</v>
      </c>
      <c r="B53" s="8" t="s">
        <v>361</v>
      </c>
      <c r="C53" s="55"/>
      <c r="D53" s="30" t="s">
        <v>356</v>
      </c>
      <c r="E53" s="126">
        <f>E54</f>
        <v>379.30000000000007</v>
      </c>
      <c r="F53" s="126">
        <f>F54</f>
        <v>309.79999999999995</v>
      </c>
    </row>
    <row r="54" spans="1:6" ht="12.75">
      <c r="A54" s="25" t="s">
        <v>123</v>
      </c>
      <c r="B54" s="8" t="s">
        <v>361</v>
      </c>
      <c r="C54" s="55" t="s">
        <v>385</v>
      </c>
      <c r="D54" s="30" t="s">
        <v>78</v>
      </c>
      <c r="E54" s="126">
        <f>'№11 МП, цел.'!D210</f>
        <v>379.30000000000007</v>
      </c>
      <c r="F54" s="126">
        <f>'№11 МП, цел.'!E210</f>
        <v>309.79999999999995</v>
      </c>
    </row>
    <row r="55" spans="1:6" ht="84">
      <c r="A55" s="25" t="s">
        <v>123</v>
      </c>
      <c r="B55" s="8">
        <v>2</v>
      </c>
      <c r="C55" s="55"/>
      <c r="D55" s="30" t="s">
        <v>223</v>
      </c>
      <c r="E55" s="126">
        <f>E56</f>
        <v>75</v>
      </c>
      <c r="F55" s="126">
        <f>F56</f>
        <v>75</v>
      </c>
    </row>
    <row r="56" spans="1:6" ht="12.75">
      <c r="A56" s="25" t="s">
        <v>123</v>
      </c>
      <c r="B56" s="8">
        <v>2</v>
      </c>
      <c r="C56" s="55" t="s">
        <v>385</v>
      </c>
      <c r="D56" s="30" t="s">
        <v>78</v>
      </c>
      <c r="E56" s="126">
        <f>'№11 МП, цел.'!D215</f>
        <v>75</v>
      </c>
      <c r="F56" s="126">
        <f>'№11 МП, цел.'!E215</f>
        <v>75</v>
      </c>
    </row>
    <row r="57" spans="1:6" ht="33.6">
      <c r="A57" s="25" t="s">
        <v>123</v>
      </c>
      <c r="B57" s="8" t="s">
        <v>68</v>
      </c>
      <c r="C57" s="55"/>
      <c r="D57" s="30" t="s">
        <v>229</v>
      </c>
      <c r="E57" s="126">
        <f>E58</f>
        <v>47.30000000000001</v>
      </c>
      <c r="F57" s="126">
        <f>F58</f>
        <v>47.3</v>
      </c>
    </row>
    <row r="58" spans="1:6" ht="12.75">
      <c r="A58" s="25" t="s">
        <v>123</v>
      </c>
      <c r="B58" s="8" t="s">
        <v>68</v>
      </c>
      <c r="C58" s="55" t="s">
        <v>385</v>
      </c>
      <c r="D58" s="30" t="s">
        <v>78</v>
      </c>
      <c r="E58" s="126">
        <f>'№11 МП, цел.'!D220</f>
        <v>47.30000000000001</v>
      </c>
      <c r="F58" s="126">
        <f>'№11 МП, цел.'!E220</f>
        <v>47.3</v>
      </c>
    </row>
    <row r="59" spans="1:6" ht="33.6">
      <c r="A59" s="25" t="s">
        <v>123</v>
      </c>
      <c r="B59" s="8" t="s">
        <v>69</v>
      </c>
      <c r="C59" s="55"/>
      <c r="D59" s="30" t="s">
        <v>233</v>
      </c>
      <c r="E59" s="126">
        <f>E60</f>
        <v>6647.1</v>
      </c>
      <c r="F59" s="126">
        <f>F60</f>
        <v>6647.1</v>
      </c>
    </row>
    <row r="60" spans="1:6" ht="12.75">
      <c r="A60" s="25" t="s">
        <v>123</v>
      </c>
      <c r="B60" s="8" t="s">
        <v>69</v>
      </c>
      <c r="C60" s="55" t="s">
        <v>385</v>
      </c>
      <c r="D60" s="30" t="s">
        <v>78</v>
      </c>
      <c r="E60" s="126">
        <f>'№11 МП, цел.'!D223</f>
        <v>6647.1</v>
      </c>
      <c r="F60" s="126">
        <f>'№11 МП, цел.'!E223</f>
        <v>6647.1</v>
      </c>
    </row>
    <row r="61" spans="1:6" ht="50.4">
      <c r="A61" s="25" t="s">
        <v>123</v>
      </c>
      <c r="B61" s="8" t="s">
        <v>70</v>
      </c>
      <c r="C61" s="55"/>
      <c r="D61" s="30" t="s">
        <v>215</v>
      </c>
      <c r="E61" s="126">
        <f>E62</f>
        <v>2983.1</v>
      </c>
      <c r="F61" s="126">
        <f>F62</f>
        <v>2983.1</v>
      </c>
    </row>
    <row r="62" spans="1:6" ht="12.75">
      <c r="A62" s="25" t="s">
        <v>123</v>
      </c>
      <c r="B62" s="8" t="s">
        <v>70</v>
      </c>
      <c r="C62" s="55" t="s">
        <v>385</v>
      </c>
      <c r="D62" s="30" t="s">
        <v>78</v>
      </c>
      <c r="E62" s="126">
        <f>'№11 МП, цел.'!D226</f>
        <v>2983.1</v>
      </c>
      <c r="F62" s="126">
        <f>'№11 МП, цел.'!E226</f>
        <v>2983.1</v>
      </c>
    </row>
    <row r="63" spans="1:6" ht="33.6">
      <c r="A63" s="25" t="s">
        <v>123</v>
      </c>
      <c r="B63" s="8" t="s">
        <v>71</v>
      </c>
      <c r="C63" s="55"/>
      <c r="D63" s="30" t="s">
        <v>202</v>
      </c>
      <c r="E63" s="126">
        <f>E64</f>
        <v>2447.2</v>
      </c>
      <c r="F63" s="126">
        <f>F64</f>
        <v>2446.7</v>
      </c>
    </row>
    <row r="64" spans="1:6" ht="12.75">
      <c r="A64" s="25" t="s">
        <v>123</v>
      </c>
      <c r="B64" s="8" t="s">
        <v>71</v>
      </c>
      <c r="C64" s="55" t="s">
        <v>385</v>
      </c>
      <c r="D64" s="30" t="s">
        <v>78</v>
      </c>
      <c r="E64" s="126">
        <f>'№11 МП, цел.'!D243</f>
        <v>2447.2</v>
      </c>
      <c r="F64" s="126">
        <f>'№11 МП, цел.'!E243</f>
        <v>2446.7</v>
      </c>
    </row>
    <row r="65" spans="1:6" ht="12.75">
      <c r="A65" s="25" t="s">
        <v>123</v>
      </c>
      <c r="B65" s="8" t="s">
        <v>72</v>
      </c>
      <c r="C65" s="55"/>
      <c r="D65" s="30" t="s">
        <v>343</v>
      </c>
      <c r="E65" s="126">
        <f>E66</f>
        <v>39499.200000000004</v>
      </c>
      <c r="F65" s="126">
        <f>F66</f>
        <v>39033.7</v>
      </c>
    </row>
    <row r="66" spans="1:6" ht="12.75">
      <c r="A66" s="25" t="s">
        <v>123</v>
      </c>
      <c r="B66" s="8" t="s">
        <v>72</v>
      </c>
      <c r="C66" s="55" t="s">
        <v>385</v>
      </c>
      <c r="D66" s="30" t="s">
        <v>78</v>
      </c>
      <c r="E66" s="126">
        <f>'№11 МП, цел.'!D256</f>
        <v>39499.200000000004</v>
      </c>
      <c r="F66" s="126">
        <f>'№11 МП, цел.'!E256</f>
        <v>39033.7</v>
      </c>
    </row>
    <row r="67" spans="1:6" s="36" customFormat="1" ht="67.2">
      <c r="A67" s="26" t="s">
        <v>292</v>
      </c>
      <c r="B67" s="26"/>
      <c r="C67" s="26"/>
      <c r="D67" s="27" t="s">
        <v>160</v>
      </c>
      <c r="E67" s="52">
        <f>E68+E70</f>
        <v>19351.399999999998</v>
      </c>
      <c r="F67" s="52">
        <f>F68+F70</f>
        <v>13178.4</v>
      </c>
    </row>
    <row r="68" spans="1:6" ht="50.4">
      <c r="A68" s="25" t="s">
        <v>292</v>
      </c>
      <c r="B68" s="8" t="s">
        <v>361</v>
      </c>
      <c r="C68" s="55"/>
      <c r="D68" s="30" t="s">
        <v>162</v>
      </c>
      <c r="E68" s="126">
        <f>E69</f>
        <v>13988.599999999999</v>
      </c>
      <c r="F68" s="126">
        <f>F69</f>
        <v>7823.2</v>
      </c>
    </row>
    <row r="69" spans="1:6" ht="33.6">
      <c r="A69" s="25" t="s">
        <v>292</v>
      </c>
      <c r="B69" s="8" t="s">
        <v>361</v>
      </c>
      <c r="C69" s="55" t="s">
        <v>15</v>
      </c>
      <c r="D69" s="30" t="s">
        <v>351</v>
      </c>
      <c r="E69" s="126">
        <f>'№11 МП, цел.'!D270</f>
        <v>13988.599999999999</v>
      </c>
      <c r="F69" s="126">
        <f>'№11 МП, цел.'!E270</f>
        <v>7823.2</v>
      </c>
    </row>
    <row r="70" spans="1:6" ht="12.75">
      <c r="A70" s="25" t="s">
        <v>292</v>
      </c>
      <c r="B70" s="8" t="s">
        <v>72</v>
      </c>
      <c r="C70" s="55"/>
      <c r="D70" s="30" t="s">
        <v>343</v>
      </c>
      <c r="E70" s="126">
        <f>E71</f>
        <v>5362.8</v>
      </c>
      <c r="F70" s="126">
        <f>F71</f>
        <v>5355.2</v>
      </c>
    </row>
    <row r="71" spans="1:6" ht="33.6">
      <c r="A71" s="25" t="s">
        <v>292</v>
      </c>
      <c r="B71" s="8" t="s">
        <v>72</v>
      </c>
      <c r="C71" s="55" t="s">
        <v>15</v>
      </c>
      <c r="D71" s="30" t="s">
        <v>351</v>
      </c>
      <c r="E71" s="126">
        <f>'№11 МП, цел.'!D281</f>
        <v>5362.8</v>
      </c>
      <c r="F71" s="126">
        <f>'№11 МП, цел.'!E281</f>
        <v>5355.2</v>
      </c>
    </row>
    <row r="72" spans="1:6" s="36" customFormat="1" ht="50.4">
      <c r="A72" s="26">
        <v>10</v>
      </c>
      <c r="B72" s="26"/>
      <c r="C72" s="26"/>
      <c r="D72" s="27" t="s">
        <v>358</v>
      </c>
      <c r="E72" s="52">
        <f>E73+E75+E79+E77</f>
        <v>11716.400000000003</v>
      </c>
      <c r="F72" s="52">
        <f>F73+F75+F79+F77</f>
        <v>11714.800000000001</v>
      </c>
    </row>
    <row r="73" spans="1:6" ht="33.6">
      <c r="A73" s="25">
        <v>10</v>
      </c>
      <c r="B73" s="8" t="s">
        <v>361</v>
      </c>
      <c r="C73" s="55"/>
      <c r="D73" s="30" t="s">
        <v>293</v>
      </c>
      <c r="E73" s="126">
        <f>E74</f>
        <v>1712.7</v>
      </c>
      <c r="F73" s="126">
        <f>F74</f>
        <v>1712.7</v>
      </c>
    </row>
    <row r="74" spans="1:6" ht="33.6">
      <c r="A74" s="25" t="s">
        <v>73</v>
      </c>
      <c r="B74" s="8" t="s">
        <v>361</v>
      </c>
      <c r="C74" s="55" t="s">
        <v>17</v>
      </c>
      <c r="D74" s="30" t="s">
        <v>50</v>
      </c>
      <c r="E74" s="126">
        <f>'№11 МП, цел.'!D285</f>
        <v>1712.7</v>
      </c>
      <c r="F74" s="126">
        <f>'№11 МП, цел.'!E285</f>
        <v>1712.7</v>
      </c>
    </row>
    <row r="75" spans="1:6" ht="50.4">
      <c r="A75" s="25">
        <v>10</v>
      </c>
      <c r="B75" s="8" t="s">
        <v>67</v>
      </c>
      <c r="C75" s="55"/>
      <c r="D75" s="30" t="s">
        <v>118</v>
      </c>
      <c r="E75" s="126">
        <f>E76</f>
        <v>339.6</v>
      </c>
      <c r="F75" s="126">
        <f>F76</f>
        <v>339.6</v>
      </c>
    </row>
    <row r="76" spans="1:6" ht="33.6">
      <c r="A76" s="25">
        <v>10</v>
      </c>
      <c r="B76" s="8" t="s">
        <v>67</v>
      </c>
      <c r="C76" s="55" t="s">
        <v>17</v>
      </c>
      <c r="D76" s="30" t="s">
        <v>50</v>
      </c>
      <c r="E76" s="126">
        <f>'№11 МП, цел.'!D290</f>
        <v>339.6</v>
      </c>
      <c r="F76" s="126">
        <f>'№11 МП, цел.'!E290</f>
        <v>339.6</v>
      </c>
    </row>
    <row r="77" spans="1:6" ht="12.75">
      <c r="A77" s="25">
        <v>10</v>
      </c>
      <c r="B77" s="25" t="s">
        <v>68</v>
      </c>
      <c r="C77" s="25"/>
      <c r="D77" s="23" t="s">
        <v>114</v>
      </c>
      <c r="E77" s="126">
        <f>E78</f>
        <v>4.100000000000001</v>
      </c>
      <c r="F77" s="126">
        <f>F78</f>
        <v>4.1</v>
      </c>
    </row>
    <row r="78" spans="1:6" ht="33.6">
      <c r="A78" s="25">
        <v>10</v>
      </c>
      <c r="B78" s="8" t="s">
        <v>68</v>
      </c>
      <c r="C78" s="55" t="s">
        <v>17</v>
      </c>
      <c r="D78" s="30" t="s">
        <v>50</v>
      </c>
      <c r="E78" s="126">
        <f>'№11 МП, цел.'!D293</f>
        <v>4.100000000000001</v>
      </c>
      <c r="F78" s="126">
        <f>'№11 МП, цел.'!E293</f>
        <v>4.1</v>
      </c>
    </row>
    <row r="79" spans="1:6" ht="12.75">
      <c r="A79" s="28">
        <v>10</v>
      </c>
      <c r="B79" s="8" t="s">
        <v>72</v>
      </c>
      <c r="C79" s="55"/>
      <c r="D79" s="30" t="s">
        <v>343</v>
      </c>
      <c r="E79" s="126">
        <f>E80</f>
        <v>9660.000000000002</v>
      </c>
      <c r="F79" s="126">
        <f>F80</f>
        <v>9658.4</v>
      </c>
    </row>
    <row r="80" spans="1:6" ht="33.6">
      <c r="A80" s="25">
        <v>10</v>
      </c>
      <c r="B80" s="8" t="s">
        <v>72</v>
      </c>
      <c r="C80" s="55" t="s">
        <v>17</v>
      </c>
      <c r="D80" s="30" t="s">
        <v>50</v>
      </c>
      <c r="E80" s="126">
        <f>'№11 МП, цел.'!D296</f>
        <v>9660.000000000002</v>
      </c>
      <c r="F80" s="126">
        <f>'№11 МП, цел.'!E296</f>
        <v>9658.4</v>
      </c>
    </row>
    <row r="81" spans="1:6" s="36" customFormat="1" ht="33.6">
      <c r="A81" s="26">
        <v>99</v>
      </c>
      <c r="B81" s="26"/>
      <c r="C81" s="26"/>
      <c r="D81" s="27" t="s">
        <v>294</v>
      </c>
      <c r="E81" s="52">
        <f>E82+E91+E84+E87</f>
        <v>5324.299999999999</v>
      </c>
      <c r="F81" s="52">
        <f>F82+F91+F84+F87</f>
        <v>5277.999999999999</v>
      </c>
    </row>
    <row r="82" spans="1:6" ht="33.6">
      <c r="A82" s="25">
        <v>99</v>
      </c>
      <c r="B82" s="8" t="s">
        <v>361</v>
      </c>
      <c r="C82" s="55"/>
      <c r="D82" s="30" t="s">
        <v>116</v>
      </c>
      <c r="E82" s="126">
        <f>E83</f>
        <v>566.7</v>
      </c>
      <c r="F82" s="126">
        <f>F83</f>
        <v>566.7</v>
      </c>
    </row>
    <row r="83" spans="1:6" ht="12.75">
      <c r="A83" s="25" t="s">
        <v>295</v>
      </c>
      <c r="B83" s="8" t="s">
        <v>361</v>
      </c>
      <c r="C83" s="55" t="s">
        <v>385</v>
      </c>
      <c r="D83" s="30" t="s">
        <v>78</v>
      </c>
      <c r="E83" s="126">
        <f>'№11 МП, цел.'!D300</f>
        <v>566.7</v>
      </c>
      <c r="F83" s="126">
        <f>'№11 МП, цел.'!E300</f>
        <v>566.7</v>
      </c>
    </row>
    <row r="84" spans="1:6" ht="12.75">
      <c r="A84" s="25" t="s">
        <v>295</v>
      </c>
      <c r="B84" s="8" t="s">
        <v>68</v>
      </c>
      <c r="C84" s="55"/>
      <c r="D84" s="30" t="s">
        <v>408</v>
      </c>
      <c r="E84" s="126">
        <f>E85+E86</f>
        <v>82.4</v>
      </c>
      <c r="F84" s="126">
        <f aca="true" t="shared" si="3" ref="F84">F85+F86</f>
        <v>82.4</v>
      </c>
    </row>
    <row r="85" spans="1:6" ht="33.6">
      <c r="A85" s="25">
        <v>99</v>
      </c>
      <c r="B85" s="8" t="s">
        <v>68</v>
      </c>
      <c r="C85" s="55" t="s">
        <v>17</v>
      </c>
      <c r="D85" s="30" t="s">
        <v>50</v>
      </c>
      <c r="E85" s="126">
        <f>'№11 МП, цел.'!D305</f>
        <v>67.4</v>
      </c>
      <c r="F85" s="126">
        <f>'№11 МП, цел.'!E305</f>
        <v>67.4</v>
      </c>
    </row>
    <row r="86" spans="1:6" ht="12.75">
      <c r="A86" s="25">
        <v>99</v>
      </c>
      <c r="B86" s="8" t="s">
        <v>68</v>
      </c>
      <c r="C86" s="55" t="s">
        <v>385</v>
      </c>
      <c r="D86" s="30" t="s">
        <v>78</v>
      </c>
      <c r="E86" s="126">
        <f>'№11 МП, цел.'!D306</f>
        <v>15</v>
      </c>
      <c r="F86" s="126">
        <f>'№11 МП, цел.'!E306</f>
        <v>15</v>
      </c>
    </row>
    <row r="87" spans="1:6" ht="50.4">
      <c r="A87" s="25">
        <v>99</v>
      </c>
      <c r="B87" s="8" t="s">
        <v>430</v>
      </c>
      <c r="C87" s="55"/>
      <c r="D87" s="23" t="s">
        <v>429</v>
      </c>
      <c r="E87" s="126">
        <f>E88+E89+E90</f>
        <v>188.2</v>
      </c>
      <c r="F87" s="126">
        <f aca="true" t="shared" si="4" ref="F87">F88+F89+F90</f>
        <v>188.2</v>
      </c>
    </row>
    <row r="88" spans="1:6" ht="12.75">
      <c r="A88" s="25">
        <v>99</v>
      </c>
      <c r="B88" s="8" t="s">
        <v>430</v>
      </c>
      <c r="C88" s="16" t="s">
        <v>385</v>
      </c>
      <c r="D88" s="30" t="s">
        <v>78</v>
      </c>
      <c r="E88" s="126">
        <f>'№11 МП, цел.'!D309</f>
        <v>63.2</v>
      </c>
      <c r="F88" s="126">
        <f>'№11 МП, цел.'!E309</f>
        <v>63.2</v>
      </c>
    </row>
    <row r="89" spans="1:6" ht="33.6">
      <c r="A89" s="25">
        <v>99</v>
      </c>
      <c r="B89" s="8" t="s">
        <v>430</v>
      </c>
      <c r="C89" s="8" t="s">
        <v>362</v>
      </c>
      <c r="D89" s="56" t="s">
        <v>367</v>
      </c>
      <c r="E89" s="126">
        <f>'№11 МП, цел.'!D310</f>
        <v>50</v>
      </c>
      <c r="F89" s="126">
        <f>'№11 МП, цел.'!E310</f>
        <v>50</v>
      </c>
    </row>
    <row r="90" spans="1:6" ht="33.6">
      <c r="A90" s="25">
        <v>99</v>
      </c>
      <c r="B90" s="8" t="s">
        <v>430</v>
      </c>
      <c r="C90" s="25" t="s">
        <v>370</v>
      </c>
      <c r="D90" s="23" t="s">
        <v>371</v>
      </c>
      <c r="E90" s="126">
        <f>'№11 МП, цел.'!D311</f>
        <v>75</v>
      </c>
      <c r="F90" s="126">
        <f>'№11 МП, цел.'!E311</f>
        <v>75</v>
      </c>
    </row>
    <row r="91" spans="1:6" ht="50.4">
      <c r="A91" s="25">
        <v>99</v>
      </c>
      <c r="B91" s="8" t="s">
        <v>72</v>
      </c>
      <c r="C91" s="55"/>
      <c r="D91" s="30" t="s">
        <v>353</v>
      </c>
      <c r="E91" s="126">
        <f>E92</f>
        <v>4487</v>
      </c>
      <c r="F91" s="126">
        <f>F92</f>
        <v>4440.7</v>
      </c>
    </row>
    <row r="92" spans="1:6" ht="12.75">
      <c r="A92" s="25" t="s">
        <v>295</v>
      </c>
      <c r="B92" s="8" t="s">
        <v>72</v>
      </c>
      <c r="C92" s="55" t="s">
        <v>379</v>
      </c>
      <c r="D92" s="30" t="s">
        <v>350</v>
      </c>
      <c r="E92" s="126">
        <f>'№11 МП, цел.'!D312</f>
        <v>4487</v>
      </c>
      <c r="F92" s="126">
        <f>'№11 МП, цел.'!E312</f>
        <v>4440.7</v>
      </c>
    </row>
  </sheetData>
  <mergeCells count="4">
    <mergeCell ref="E1:F1"/>
    <mergeCell ref="B2:F2"/>
    <mergeCell ref="A3:F3"/>
    <mergeCell ref="A5:F5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6"/>
  <sheetViews>
    <sheetView workbookViewId="0" topLeftCell="A1">
      <selection activeCell="H7" sqref="H7"/>
    </sheetView>
  </sheetViews>
  <sheetFormatPr defaultColWidth="9.125" defaultRowHeight="12.75"/>
  <cols>
    <col min="1" max="1" width="11.125" style="63" customWidth="1"/>
    <col min="2" max="2" width="7.00390625" style="44" customWidth="1"/>
    <col min="3" max="3" width="75.25390625" style="1" customWidth="1"/>
    <col min="4" max="4" width="14.50390625" style="48" customWidth="1"/>
    <col min="5" max="5" width="13.50390625" style="48" customWidth="1"/>
    <col min="6" max="16384" width="9.125" style="1" customWidth="1"/>
  </cols>
  <sheetData>
    <row r="1" spans="1:5" ht="12.75">
      <c r="A1" s="184"/>
      <c r="B1" s="186"/>
      <c r="C1" s="187"/>
      <c r="D1" s="319" t="s">
        <v>577</v>
      </c>
      <c r="E1" s="319"/>
    </row>
    <row r="2" spans="1:5" ht="12.75">
      <c r="A2" s="184"/>
      <c r="B2" s="320" t="s">
        <v>378</v>
      </c>
      <c r="C2" s="320"/>
      <c r="D2" s="320"/>
      <c r="E2" s="320"/>
    </row>
    <row r="3" spans="1:5" ht="12.75">
      <c r="A3" s="321" t="s">
        <v>1137</v>
      </c>
      <c r="B3" s="321"/>
      <c r="C3" s="321"/>
      <c r="D3" s="321"/>
      <c r="E3" s="321"/>
    </row>
    <row r="4" spans="1:5" ht="12.75">
      <c r="A4" s="64"/>
      <c r="B4" s="45"/>
      <c r="C4" s="33"/>
      <c r="D4" s="49"/>
      <c r="E4" s="49"/>
    </row>
    <row r="5" spans="1:5" s="34" customFormat="1" ht="53.25" customHeight="1">
      <c r="A5" s="318" t="s">
        <v>567</v>
      </c>
      <c r="B5" s="318"/>
      <c r="C5" s="318"/>
      <c r="D5" s="318"/>
      <c r="E5" s="318"/>
    </row>
    <row r="6" spans="1:5" ht="12.75">
      <c r="A6" s="65"/>
      <c r="B6" s="46"/>
      <c r="C6" s="32"/>
      <c r="D6" s="50"/>
      <c r="E6" s="179" t="s">
        <v>565</v>
      </c>
    </row>
    <row r="7" spans="1:5" ht="50.4">
      <c r="A7" s="274" t="s">
        <v>382</v>
      </c>
      <c r="B7" s="274" t="s">
        <v>381</v>
      </c>
      <c r="C7" s="196" t="s">
        <v>384</v>
      </c>
      <c r="D7" s="194" t="s">
        <v>558</v>
      </c>
      <c r="E7" s="197" t="s">
        <v>559</v>
      </c>
    </row>
    <row r="8" spans="1:5" ht="12.75">
      <c r="A8" s="28">
        <v>1</v>
      </c>
      <c r="B8" s="196">
        <v>2</v>
      </c>
      <c r="C8" s="28">
        <v>3</v>
      </c>
      <c r="D8" s="53">
        <v>4</v>
      </c>
      <c r="E8" s="53">
        <v>5</v>
      </c>
    </row>
    <row r="9" spans="1:5" s="36" customFormat="1" ht="12.75">
      <c r="A9" s="66"/>
      <c r="B9" s="47"/>
      <c r="C9" s="35" t="s">
        <v>341</v>
      </c>
      <c r="D9" s="52">
        <f>D10+D91+D124+D139+D159+D179+D196+D209+D269+D284+D299</f>
        <v>688790.3</v>
      </c>
      <c r="E9" s="52">
        <f>E10+E91+E124+E139+E159+E179+E196+E209+E269+E284+E299</f>
        <v>663467.1000000001</v>
      </c>
    </row>
    <row r="10" spans="1:5" s="36" customFormat="1" ht="50.4">
      <c r="A10" s="26" t="s">
        <v>81</v>
      </c>
      <c r="B10" s="26"/>
      <c r="C10" s="27" t="s">
        <v>79</v>
      </c>
      <c r="D10" s="52">
        <f>D11+D65+D84</f>
        <v>433022.2000000001</v>
      </c>
      <c r="E10" s="52">
        <f>E11+E65+E84</f>
        <v>428076.00000000006</v>
      </c>
    </row>
    <row r="11" spans="1:5" s="36" customFormat="1" ht="33.6">
      <c r="A11" s="26" t="s">
        <v>82</v>
      </c>
      <c r="B11" s="26"/>
      <c r="C11" s="27" t="s">
        <v>80</v>
      </c>
      <c r="D11" s="52">
        <f>D12+D14+D16+D18+D20+D22+D24+D26+D28+D30+D32+D34+D36+D46+D48+D51+D59+D61+D63+D44+D53+D42+D38+D40+D55+D57</f>
        <v>412408.2000000001</v>
      </c>
      <c r="E11" s="52">
        <f>E12+E14+E16+E18+E20+E22+E24+E26+E28+E30+E32+E34+E36+E46+E48+E51+E59+E61+E63+E44+E53+E42+E38+E40+E55+E57</f>
        <v>407483.8000000001</v>
      </c>
    </row>
    <row r="12" spans="1:6" ht="84">
      <c r="A12" s="8" t="s">
        <v>321</v>
      </c>
      <c r="B12" s="8"/>
      <c r="C12" s="56" t="s">
        <v>107</v>
      </c>
      <c r="D12" s="61">
        <f>D13</f>
        <v>265.8</v>
      </c>
      <c r="E12" s="61">
        <f>E13</f>
        <v>195.9</v>
      </c>
      <c r="F12" s="62"/>
    </row>
    <row r="13" spans="1:6" ht="33.6">
      <c r="A13" s="8" t="s">
        <v>321</v>
      </c>
      <c r="B13" s="25" t="s">
        <v>370</v>
      </c>
      <c r="C13" s="23" t="s">
        <v>371</v>
      </c>
      <c r="D13" s="61">
        <f>'№8 ведом.'!F449</f>
        <v>265.8</v>
      </c>
      <c r="E13" s="61">
        <f>'№8 ведом.'!G449</f>
        <v>195.9</v>
      </c>
      <c r="F13" s="62"/>
    </row>
    <row r="14" spans="1:6" ht="33.6">
      <c r="A14" s="127" t="s">
        <v>389</v>
      </c>
      <c r="B14" s="197"/>
      <c r="C14" s="56" t="s">
        <v>390</v>
      </c>
      <c r="D14" s="61">
        <f>D15</f>
        <v>148.2</v>
      </c>
      <c r="E14" s="61">
        <f>E15</f>
        <v>148.2</v>
      </c>
      <c r="F14" s="62"/>
    </row>
    <row r="15" spans="1:6" ht="33.6">
      <c r="A15" s="127" t="s">
        <v>389</v>
      </c>
      <c r="B15" s="25" t="s">
        <v>370</v>
      </c>
      <c r="C15" s="23" t="s">
        <v>371</v>
      </c>
      <c r="D15" s="61">
        <f>'№8 ведом.'!F428</f>
        <v>148.2</v>
      </c>
      <c r="E15" s="61">
        <f>'№8 ведом.'!G428</f>
        <v>148.2</v>
      </c>
      <c r="F15" s="62"/>
    </row>
    <row r="16" spans="1:6" ht="50.4">
      <c r="A16" s="8" t="s">
        <v>83</v>
      </c>
      <c r="B16" s="8"/>
      <c r="C16" s="56" t="s">
        <v>84</v>
      </c>
      <c r="D16" s="61">
        <f>D17</f>
        <v>64213.600000000006</v>
      </c>
      <c r="E16" s="61">
        <f>E17</f>
        <v>62052.2</v>
      </c>
      <c r="F16" s="62"/>
    </row>
    <row r="17" spans="1:6" ht="33.6">
      <c r="A17" s="8" t="s">
        <v>83</v>
      </c>
      <c r="B17" s="8" t="s">
        <v>370</v>
      </c>
      <c r="C17" s="56" t="s">
        <v>371</v>
      </c>
      <c r="D17" s="61">
        <f>'№8 ведом.'!F374</f>
        <v>64213.600000000006</v>
      </c>
      <c r="E17" s="61">
        <f>'№8 ведом.'!G374</f>
        <v>62052.2</v>
      </c>
      <c r="F17" s="62"/>
    </row>
    <row r="18" spans="1:6" ht="50.4">
      <c r="A18" s="8" t="s">
        <v>90</v>
      </c>
      <c r="B18" s="8"/>
      <c r="C18" s="56" t="s">
        <v>91</v>
      </c>
      <c r="D18" s="61">
        <f>D19</f>
        <v>34190.9</v>
      </c>
      <c r="E18" s="61">
        <f>E19</f>
        <v>33620.6</v>
      </c>
      <c r="F18" s="62"/>
    </row>
    <row r="19" spans="1:6" ht="33.6">
      <c r="A19" s="8" t="s">
        <v>90</v>
      </c>
      <c r="B19" s="8" t="s">
        <v>370</v>
      </c>
      <c r="C19" s="56" t="s">
        <v>371</v>
      </c>
      <c r="D19" s="61">
        <f>'№8 ведом.'!F395</f>
        <v>34190.9</v>
      </c>
      <c r="E19" s="61">
        <f>'№8 ведом.'!G395</f>
        <v>33620.6</v>
      </c>
      <c r="F19" s="62"/>
    </row>
    <row r="20" spans="1:6" ht="33.6">
      <c r="A20" s="8" t="s">
        <v>92</v>
      </c>
      <c r="B20" s="8"/>
      <c r="C20" s="56" t="s">
        <v>93</v>
      </c>
      <c r="D20" s="61">
        <f>D21</f>
        <v>3681.8</v>
      </c>
      <c r="E20" s="61">
        <f>E21</f>
        <v>3681.8</v>
      </c>
      <c r="F20" s="62"/>
    </row>
    <row r="21" spans="1:6" ht="33.6">
      <c r="A21" s="8" t="s">
        <v>92</v>
      </c>
      <c r="B21" s="8" t="s">
        <v>370</v>
      </c>
      <c r="C21" s="56" t="s">
        <v>371</v>
      </c>
      <c r="D21" s="61">
        <f>'№8 ведом.'!F397</f>
        <v>3681.8</v>
      </c>
      <c r="E21" s="61">
        <f>'№8 ведом.'!G397</f>
        <v>3681.8</v>
      </c>
      <c r="F21" s="62"/>
    </row>
    <row r="22" spans="1:6" ht="50.4">
      <c r="A22" s="8" t="s">
        <v>94</v>
      </c>
      <c r="B22" s="8"/>
      <c r="C22" s="56" t="s">
        <v>95</v>
      </c>
      <c r="D22" s="61">
        <f>D23</f>
        <v>7686.6</v>
      </c>
      <c r="E22" s="61">
        <f>E23</f>
        <v>7667.1</v>
      </c>
      <c r="F22" s="62"/>
    </row>
    <row r="23" spans="1:6" ht="19.2" customHeight="1">
      <c r="A23" s="8" t="s">
        <v>94</v>
      </c>
      <c r="B23" s="8" t="s">
        <v>370</v>
      </c>
      <c r="C23" s="56" t="s">
        <v>371</v>
      </c>
      <c r="D23" s="61">
        <f>'№8 ведом.'!F398</f>
        <v>7686.6</v>
      </c>
      <c r="E23" s="61">
        <f>'№8 ведом.'!G398</f>
        <v>7667.1</v>
      </c>
      <c r="F23" s="62"/>
    </row>
    <row r="24" spans="1:6" ht="33.6">
      <c r="A24" s="8" t="s">
        <v>315</v>
      </c>
      <c r="B24" s="8"/>
      <c r="C24" s="56" t="s">
        <v>88</v>
      </c>
      <c r="D24" s="61">
        <f>D25</f>
        <v>2128.2999999999997</v>
      </c>
      <c r="E24" s="61">
        <f>E25</f>
        <v>2128.3</v>
      </c>
      <c r="F24" s="62"/>
    </row>
    <row r="25" spans="1:6" ht="33.6">
      <c r="A25" s="8" t="s">
        <v>315</v>
      </c>
      <c r="B25" s="8" t="s">
        <v>370</v>
      </c>
      <c r="C25" s="56" t="s">
        <v>371</v>
      </c>
      <c r="D25" s="61">
        <f>'№8 ведом.'!F376</f>
        <v>2128.2999999999997</v>
      </c>
      <c r="E25" s="61">
        <f>'№8 ведом.'!G376</f>
        <v>2128.3</v>
      </c>
      <c r="F25" s="62"/>
    </row>
    <row r="26" spans="1:6" ht="33.6">
      <c r="A26" s="8" t="s">
        <v>316</v>
      </c>
      <c r="B26" s="8"/>
      <c r="C26" s="56" t="s">
        <v>89</v>
      </c>
      <c r="D26" s="61">
        <f>D27</f>
        <v>235.8</v>
      </c>
      <c r="E26" s="61">
        <f>E27</f>
        <v>235.8</v>
      </c>
      <c r="F26" s="62"/>
    </row>
    <row r="27" spans="1:6" ht="33.6">
      <c r="A27" s="8" t="s">
        <v>316</v>
      </c>
      <c r="B27" s="8" t="s">
        <v>370</v>
      </c>
      <c r="C27" s="56" t="s">
        <v>371</v>
      </c>
      <c r="D27" s="61">
        <f>'№8 ведом.'!F378</f>
        <v>235.8</v>
      </c>
      <c r="E27" s="61">
        <f>'№8 ведом.'!G378</f>
        <v>235.8</v>
      </c>
      <c r="F27" s="62"/>
    </row>
    <row r="28" spans="1:6" ht="50.4">
      <c r="A28" s="8" t="s">
        <v>317</v>
      </c>
      <c r="B28" s="8"/>
      <c r="C28" s="56" t="s">
        <v>98</v>
      </c>
      <c r="D28" s="61">
        <f>D29</f>
        <v>1037.1</v>
      </c>
      <c r="E28" s="61">
        <f>E29</f>
        <v>1037.1</v>
      </c>
      <c r="F28" s="62"/>
    </row>
    <row r="29" spans="1:6" ht="33.6">
      <c r="A29" s="8" t="s">
        <v>317</v>
      </c>
      <c r="B29" s="8" t="s">
        <v>370</v>
      </c>
      <c r="C29" s="56" t="s">
        <v>371</v>
      </c>
      <c r="D29" s="61">
        <f>'№8 ведом.'!F380</f>
        <v>1037.1</v>
      </c>
      <c r="E29" s="61">
        <f>'№8 ведом.'!G380</f>
        <v>1037.1</v>
      </c>
      <c r="F29" s="62"/>
    </row>
    <row r="30" spans="1:6" ht="33.6">
      <c r="A30" s="8" t="s">
        <v>318</v>
      </c>
      <c r="B30" s="8"/>
      <c r="C30" s="56" t="s">
        <v>96</v>
      </c>
      <c r="D30" s="61">
        <f>D31</f>
        <v>5136.4</v>
      </c>
      <c r="E30" s="61">
        <f>E31</f>
        <v>5136.4</v>
      </c>
      <c r="F30" s="62"/>
    </row>
    <row r="31" spans="1:6" ht="33.6">
      <c r="A31" s="8" t="s">
        <v>318</v>
      </c>
      <c r="B31" s="8" t="s">
        <v>370</v>
      </c>
      <c r="C31" s="56" t="s">
        <v>371</v>
      </c>
      <c r="D31" s="61">
        <f>'№8 ведом.'!F400</f>
        <v>5136.4</v>
      </c>
      <c r="E31" s="61">
        <f>'№8 ведом.'!G400</f>
        <v>5136.4</v>
      </c>
      <c r="F31" s="62"/>
    </row>
    <row r="32" spans="1:6" ht="33.6">
      <c r="A32" s="8" t="s">
        <v>319</v>
      </c>
      <c r="B32" s="8"/>
      <c r="C32" s="56" t="s">
        <v>97</v>
      </c>
      <c r="D32" s="61">
        <f>D33</f>
        <v>464.5</v>
      </c>
      <c r="E32" s="61">
        <f>E33</f>
        <v>464.5</v>
      </c>
      <c r="F32" s="62"/>
    </row>
    <row r="33" spans="1:6" ht="33.6">
      <c r="A33" s="8" t="s">
        <v>319</v>
      </c>
      <c r="B33" s="8" t="s">
        <v>370</v>
      </c>
      <c r="C33" s="56" t="s">
        <v>371</v>
      </c>
      <c r="D33" s="61">
        <f>'№8 ведом.'!F402</f>
        <v>464.5</v>
      </c>
      <c r="E33" s="61">
        <f>'№8 ведом.'!G402</f>
        <v>464.5</v>
      </c>
      <c r="F33" s="62"/>
    </row>
    <row r="34" spans="1:6" ht="33.6">
      <c r="A34" s="8" t="s">
        <v>320</v>
      </c>
      <c r="B34" s="8"/>
      <c r="C34" s="56" t="s">
        <v>99</v>
      </c>
      <c r="D34" s="61">
        <f>D35</f>
        <v>5482.1</v>
      </c>
      <c r="E34" s="61">
        <f>E35</f>
        <v>3910.3</v>
      </c>
      <c r="F34" s="62"/>
    </row>
    <row r="35" spans="1:6" ht="33.6">
      <c r="A35" s="8" t="s">
        <v>320</v>
      </c>
      <c r="B35" s="8" t="s">
        <v>370</v>
      </c>
      <c r="C35" s="56" t="s">
        <v>371</v>
      </c>
      <c r="D35" s="61">
        <f>'№8 ведом.'!F404</f>
        <v>5482.1</v>
      </c>
      <c r="E35" s="61">
        <f>'№8 ведом.'!G404</f>
        <v>3910.3</v>
      </c>
      <c r="F35" s="62"/>
    </row>
    <row r="36" spans="1:6" ht="50.4">
      <c r="A36" s="8" t="s">
        <v>100</v>
      </c>
      <c r="B36" s="8"/>
      <c r="C36" s="56" t="s">
        <v>101</v>
      </c>
      <c r="D36" s="61">
        <f>D37</f>
        <v>4852.7</v>
      </c>
      <c r="E36" s="61">
        <f>E37</f>
        <v>4644.2</v>
      </c>
      <c r="F36" s="62"/>
    </row>
    <row r="37" spans="1:6" ht="33.6">
      <c r="A37" s="8" t="s">
        <v>100</v>
      </c>
      <c r="B37" s="8" t="s">
        <v>370</v>
      </c>
      <c r="C37" s="56" t="s">
        <v>371</v>
      </c>
      <c r="D37" s="61">
        <f>'№8 ведом.'!F406</f>
        <v>4852.7</v>
      </c>
      <c r="E37" s="61">
        <f>'№8 ведом.'!G406</f>
        <v>4644.2</v>
      </c>
      <c r="F37" s="62"/>
    </row>
    <row r="38" spans="1:6" ht="33.6">
      <c r="A38" s="8" t="s">
        <v>438</v>
      </c>
      <c r="B38" s="8"/>
      <c r="C38" s="9" t="s">
        <v>439</v>
      </c>
      <c r="D38" s="61">
        <f>D39</f>
        <v>159.5000000000001</v>
      </c>
      <c r="E38" s="61">
        <f>E39</f>
        <v>159.5</v>
      </c>
      <c r="F38" s="62"/>
    </row>
    <row r="39" spans="1:6" ht="33.6">
      <c r="A39" s="8" t="s">
        <v>438</v>
      </c>
      <c r="B39" s="8" t="s">
        <v>370</v>
      </c>
      <c r="C39" s="56" t="s">
        <v>371</v>
      </c>
      <c r="D39" s="61">
        <f>'№8 ведом.'!F409</f>
        <v>159.5000000000001</v>
      </c>
      <c r="E39" s="61">
        <f>'№8 ведом.'!G409</f>
        <v>159.5</v>
      </c>
      <c r="F39" s="62"/>
    </row>
    <row r="40" spans="1:6" ht="84">
      <c r="A40" s="8" t="s">
        <v>490</v>
      </c>
      <c r="B40" s="8"/>
      <c r="C40" s="9" t="s">
        <v>493</v>
      </c>
      <c r="D40" s="61">
        <f>D41</f>
        <v>1067.4</v>
      </c>
      <c r="E40" s="61">
        <f>E41</f>
        <v>1067.4</v>
      </c>
      <c r="F40" s="62"/>
    </row>
    <row r="41" spans="1:6" ht="33.6">
      <c r="A41" s="8" t="s">
        <v>490</v>
      </c>
      <c r="B41" s="8" t="s">
        <v>370</v>
      </c>
      <c r="C41" s="56" t="s">
        <v>371</v>
      </c>
      <c r="D41" s="61">
        <f>'№8 ведом.'!F411</f>
        <v>1067.4</v>
      </c>
      <c r="E41" s="61">
        <f>'№8 ведом.'!G411</f>
        <v>1067.4</v>
      </c>
      <c r="F41" s="62"/>
    </row>
    <row r="42" spans="1:6" ht="67.2">
      <c r="A42" s="8" t="s">
        <v>436</v>
      </c>
      <c r="B42" s="8"/>
      <c r="C42" s="9" t="s">
        <v>572</v>
      </c>
      <c r="D42" s="61">
        <f>D43</f>
        <v>194.5</v>
      </c>
      <c r="E42" s="61">
        <f>E43</f>
        <v>194.5</v>
      </c>
      <c r="F42" s="62"/>
    </row>
    <row r="43" spans="1:6" ht="33.6">
      <c r="A43" s="8" t="s">
        <v>436</v>
      </c>
      <c r="B43" s="8" t="s">
        <v>370</v>
      </c>
      <c r="C43" s="56" t="s">
        <v>371</v>
      </c>
      <c r="D43" s="61">
        <f>'№8 ведом.'!F383</f>
        <v>194.5</v>
      </c>
      <c r="E43" s="61">
        <f>'№8 ведом.'!G383</f>
        <v>194.5</v>
      </c>
      <c r="F43" s="62"/>
    </row>
    <row r="44" spans="1:6" ht="50.4">
      <c r="A44" s="8" t="s">
        <v>421</v>
      </c>
      <c r="B44" s="8"/>
      <c r="C44" s="9" t="s">
        <v>422</v>
      </c>
      <c r="D44" s="61">
        <f>D45</f>
        <v>4369.4</v>
      </c>
      <c r="E44" s="61">
        <f>E45</f>
        <v>4369.4</v>
      </c>
      <c r="F44" s="62"/>
    </row>
    <row r="45" spans="1:6" ht="33.6">
      <c r="A45" s="8" t="s">
        <v>421</v>
      </c>
      <c r="B45" s="8" t="s">
        <v>370</v>
      </c>
      <c r="C45" s="56" t="s">
        <v>371</v>
      </c>
      <c r="D45" s="61">
        <f>'№8 ведом.'!F385+'№8 ведом.'!F413</f>
        <v>4369.4</v>
      </c>
      <c r="E45" s="61">
        <f>'№8 ведом.'!G385+'№8 ведом.'!G413</f>
        <v>4369.4</v>
      </c>
      <c r="F45" s="62"/>
    </row>
    <row r="46" spans="1:6" ht="50.4">
      <c r="A46" s="8" t="s">
        <v>399</v>
      </c>
      <c r="B46" s="196"/>
      <c r="C46" s="23" t="s">
        <v>400</v>
      </c>
      <c r="D46" s="61">
        <f>D47</f>
        <v>4234</v>
      </c>
      <c r="E46" s="61">
        <f>E47</f>
        <v>4234</v>
      </c>
      <c r="F46" s="62"/>
    </row>
    <row r="47" spans="1:6" ht="33.6">
      <c r="A47" s="8" t="s">
        <v>399</v>
      </c>
      <c r="B47" s="8" t="s">
        <v>370</v>
      </c>
      <c r="C47" s="56" t="s">
        <v>371</v>
      </c>
      <c r="D47" s="61">
        <f>'№8 ведом.'!F415</f>
        <v>4234</v>
      </c>
      <c r="E47" s="61">
        <f>'№8 ведом.'!G415</f>
        <v>4234</v>
      </c>
      <c r="F47" s="62"/>
    </row>
    <row r="48" spans="1:6" ht="33.6">
      <c r="A48" s="8" t="s">
        <v>406</v>
      </c>
      <c r="B48" s="8"/>
      <c r="C48" s="9" t="s">
        <v>407</v>
      </c>
      <c r="D48" s="61">
        <f>D49+D50</f>
        <v>2890.8</v>
      </c>
      <c r="E48" s="61">
        <f>E49+E50</f>
        <v>2883.1000000000004</v>
      </c>
      <c r="F48" s="62"/>
    </row>
    <row r="49" spans="1:6" ht="33.6">
      <c r="A49" s="8" t="s">
        <v>406</v>
      </c>
      <c r="B49" s="8" t="s">
        <v>370</v>
      </c>
      <c r="C49" s="56" t="s">
        <v>371</v>
      </c>
      <c r="D49" s="61">
        <f>'№8 ведом.'!F429</f>
        <v>2685.5</v>
      </c>
      <c r="E49" s="61">
        <f>'№8 ведом.'!G429</f>
        <v>2677.8</v>
      </c>
      <c r="F49" s="62"/>
    </row>
    <row r="50" spans="1:6" ht="33.6">
      <c r="A50" s="8" t="s">
        <v>406</v>
      </c>
      <c r="B50" s="8" t="s">
        <v>362</v>
      </c>
      <c r="C50" s="56" t="s">
        <v>367</v>
      </c>
      <c r="D50" s="61">
        <f>'№8 ведом.'!F314</f>
        <v>205.3</v>
      </c>
      <c r="E50" s="61">
        <f>'№8 ведом.'!G314</f>
        <v>205.3</v>
      </c>
      <c r="F50" s="62"/>
    </row>
    <row r="51" spans="1:6" ht="134.4">
      <c r="A51" s="8" t="s">
        <v>391</v>
      </c>
      <c r="B51" s="196"/>
      <c r="C51" s="56" t="s">
        <v>392</v>
      </c>
      <c r="D51" s="61">
        <f>D52</f>
        <v>196</v>
      </c>
      <c r="E51" s="61">
        <f>E52</f>
        <v>196</v>
      </c>
      <c r="F51" s="62"/>
    </row>
    <row r="52" spans="1:6" ht="33.6">
      <c r="A52" s="8" t="s">
        <v>391</v>
      </c>
      <c r="B52" s="8" t="s">
        <v>370</v>
      </c>
      <c r="C52" s="56" t="s">
        <v>371</v>
      </c>
      <c r="D52" s="61">
        <f>'№8 ведом.'!F452</f>
        <v>196</v>
      </c>
      <c r="E52" s="61">
        <f>'№8 ведом.'!G452</f>
        <v>196</v>
      </c>
      <c r="F52" s="62"/>
    </row>
    <row r="53" spans="1:6" ht="50.4">
      <c r="A53" s="8" t="s">
        <v>423</v>
      </c>
      <c r="B53" s="8"/>
      <c r="C53" s="56" t="s">
        <v>424</v>
      </c>
      <c r="D53" s="61">
        <f>D54</f>
        <v>742.3</v>
      </c>
      <c r="E53" s="61">
        <f>E54</f>
        <v>742.3</v>
      </c>
      <c r="F53" s="62"/>
    </row>
    <row r="54" spans="1:6" ht="33.6">
      <c r="A54" s="8" t="s">
        <v>423</v>
      </c>
      <c r="B54" s="8" t="s">
        <v>370</v>
      </c>
      <c r="C54" s="56" t="s">
        <v>371</v>
      </c>
      <c r="D54" s="61">
        <f>'№8 ведом.'!F417</f>
        <v>742.3</v>
      </c>
      <c r="E54" s="61">
        <f>'№8 ведом.'!G417</f>
        <v>742.3</v>
      </c>
      <c r="F54" s="62"/>
    </row>
    <row r="55" spans="1:6" ht="84">
      <c r="A55" s="8" t="s">
        <v>492</v>
      </c>
      <c r="B55" s="8"/>
      <c r="C55" s="9" t="s">
        <v>494</v>
      </c>
      <c r="D55" s="61">
        <f>D56</f>
        <v>457.4</v>
      </c>
      <c r="E55" s="61">
        <f>E56</f>
        <v>457.4</v>
      </c>
      <c r="F55" s="62"/>
    </row>
    <row r="56" spans="1:6" ht="33.6">
      <c r="A56" s="8" t="s">
        <v>492</v>
      </c>
      <c r="B56" s="8" t="s">
        <v>370</v>
      </c>
      <c r="C56" s="56" t="s">
        <v>371</v>
      </c>
      <c r="D56" s="61">
        <f>'№8 ведом.'!F419</f>
        <v>457.4</v>
      </c>
      <c r="E56" s="61">
        <f>'№8 ведом.'!G419</f>
        <v>457.4</v>
      </c>
      <c r="F56" s="62"/>
    </row>
    <row r="57" spans="1:6" ht="84">
      <c r="A57" s="8" t="s">
        <v>496</v>
      </c>
      <c r="B57" s="8"/>
      <c r="C57" s="56" t="s">
        <v>495</v>
      </c>
      <c r="D57" s="61">
        <f>D58</f>
        <v>927.4</v>
      </c>
      <c r="E57" s="61">
        <f>E58</f>
        <v>927.4</v>
      </c>
      <c r="F57" s="62"/>
    </row>
    <row r="58" spans="1:6" ht="33.6">
      <c r="A58" s="8" t="s">
        <v>496</v>
      </c>
      <c r="B58" s="8" t="s">
        <v>370</v>
      </c>
      <c r="C58" s="56" t="s">
        <v>371</v>
      </c>
      <c r="D58" s="61">
        <f>'№8 ведом.'!F421</f>
        <v>927.4</v>
      </c>
      <c r="E58" s="61">
        <f>'№8 ведом.'!G421</f>
        <v>927.4</v>
      </c>
      <c r="F58" s="62"/>
    </row>
    <row r="59" spans="1:6" ht="67.2">
      <c r="A59" s="8" t="s">
        <v>110</v>
      </c>
      <c r="B59" s="8"/>
      <c r="C59" s="56" t="s">
        <v>111</v>
      </c>
      <c r="D59" s="61">
        <f>D60</f>
        <v>7754.1</v>
      </c>
      <c r="E59" s="61">
        <f>E60</f>
        <v>7438.8</v>
      </c>
      <c r="F59" s="62"/>
    </row>
    <row r="60" spans="1:6" ht="33.6">
      <c r="A60" s="8" t="s">
        <v>110</v>
      </c>
      <c r="B60" s="8" t="s">
        <v>370</v>
      </c>
      <c r="C60" s="56" t="s">
        <v>371</v>
      </c>
      <c r="D60" s="61">
        <f>'№8 ведом.'!F456</f>
        <v>7754.1</v>
      </c>
      <c r="E60" s="61">
        <f>'№8 ведом.'!G456</f>
        <v>7438.8</v>
      </c>
      <c r="F60" s="62"/>
    </row>
    <row r="61" spans="1:6" ht="67.2">
      <c r="A61" s="8" t="s">
        <v>85</v>
      </c>
      <c r="B61" s="8"/>
      <c r="C61" s="56" t="s">
        <v>86</v>
      </c>
      <c r="D61" s="61">
        <f>D62</f>
        <v>87902.7</v>
      </c>
      <c r="E61" s="61">
        <f>E62</f>
        <v>87902.7</v>
      </c>
      <c r="F61" s="62"/>
    </row>
    <row r="62" spans="1:6" ht="33.6">
      <c r="A62" s="8" t="s">
        <v>85</v>
      </c>
      <c r="B62" s="8" t="s">
        <v>370</v>
      </c>
      <c r="C62" s="56" t="s">
        <v>371</v>
      </c>
      <c r="D62" s="61">
        <f>'№8 ведом.'!F386</f>
        <v>87902.7</v>
      </c>
      <c r="E62" s="61">
        <f>'№8 ведом.'!G386</f>
        <v>87902.7</v>
      </c>
      <c r="F62" s="62"/>
    </row>
    <row r="63" spans="1:6" ht="100.8">
      <c r="A63" s="8" t="s">
        <v>112</v>
      </c>
      <c r="B63" s="8"/>
      <c r="C63" s="56" t="s">
        <v>113</v>
      </c>
      <c r="D63" s="61">
        <f>D64</f>
        <v>171988.9</v>
      </c>
      <c r="E63" s="61">
        <f>E64</f>
        <v>171988.9</v>
      </c>
      <c r="F63" s="62"/>
    </row>
    <row r="64" spans="1:6" ht="33.6">
      <c r="A64" s="8" t="s">
        <v>112</v>
      </c>
      <c r="B64" s="8" t="s">
        <v>370</v>
      </c>
      <c r="C64" s="56" t="s">
        <v>371</v>
      </c>
      <c r="D64" s="61">
        <f>'№8 ведом.'!F422</f>
        <v>171988.9</v>
      </c>
      <c r="E64" s="61">
        <f>'№8 ведом.'!G422</f>
        <v>171988.9</v>
      </c>
      <c r="F64" s="62"/>
    </row>
    <row r="65" spans="1:6" s="36" customFormat="1" ht="50.4">
      <c r="A65" s="26" t="s">
        <v>124</v>
      </c>
      <c r="B65" s="26"/>
      <c r="C65" s="27" t="s">
        <v>125</v>
      </c>
      <c r="D65" s="95">
        <f>D66+D68+D70+D74+D76+D78+D80+D82+D72</f>
        <v>5103.599999999999</v>
      </c>
      <c r="E65" s="95">
        <f>E66+E68+E70+E74+E76+E78+E80+E82+E72</f>
        <v>5103.599999999999</v>
      </c>
      <c r="F65" s="106"/>
    </row>
    <row r="66" spans="1:6" ht="12.75">
      <c r="A66" s="8" t="s">
        <v>126</v>
      </c>
      <c r="B66" s="8"/>
      <c r="C66" s="56" t="s">
        <v>127</v>
      </c>
      <c r="D66" s="61">
        <f>D67</f>
        <v>40.2</v>
      </c>
      <c r="E66" s="61">
        <f>E67</f>
        <v>40.2</v>
      </c>
      <c r="F66" s="62"/>
    </row>
    <row r="67" spans="1:6" ht="33.6">
      <c r="A67" s="8" t="s">
        <v>126</v>
      </c>
      <c r="B67" s="8" t="s">
        <v>362</v>
      </c>
      <c r="C67" s="56" t="s">
        <v>367</v>
      </c>
      <c r="D67" s="61">
        <f>'№8 ведом.'!F319</f>
        <v>40.2</v>
      </c>
      <c r="E67" s="61">
        <f>'№8 ведом.'!G319</f>
        <v>40.2</v>
      </c>
      <c r="F67" s="62"/>
    </row>
    <row r="68" spans="1:6" ht="33.6">
      <c r="A68" s="8" t="s">
        <v>128</v>
      </c>
      <c r="B68" s="8"/>
      <c r="C68" s="56" t="s">
        <v>129</v>
      </c>
      <c r="D68" s="61">
        <f>D69</f>
        <v>13</v>
      </c>
      <c r="E68" s="61">
        <f>E69</f>
        <v>13</v>
      </c>
      <c r="F68" s="62"/>
    </row>
    <row r="69" spans="1:6" ht="33.6">
      <c r="A69" s="8" t="s">
        <v>128</v>
      </c>
      <c r="B69" s="8" t="s">
        <v>362</v>
      </c>
      <c r="C69" s="56" t="s">
        <v>367</v>
      </c>
      <c r="D69" s="61">
        <f>'№8 ведом.'!F320</f>
        <v>13</v>
      </c>
      <c r="E69" s="61">
        <f>'№8 ведом.'!G320</f>
        <v>13</v>
      </c>
      <c r="F69" s="62"/>
    </row>
    <row r="70" spans="1:6" ht="33.6">
      <c r="A70" s="8" t="s">
        <v>130</v>
      </c>
      <c r="B70" s="8"/>
      <c r="C70" s="56" t="s">
        <v>131</v>
      </c>
      <c r="D70" s="61">
        <f>D71</f>
        <v>33.5</v>
      </c>
      <c r="E70" s="61">
        <f>E71</f>
        <v>33.5</v>
      </c>
      <c r="F70" s="62"/>
    </row>
    <row r="71" spans="1:6" ht="33.6">
      <c r="A71" s="8" t="s">
        <v>130</v>
      </c>
      <c r="B71" s="8" t="s">
        <v>362</v>
      </c>
      <c r="C71" s="56" t="s">
        <v>367</v>
      </c>
      <c r="D71" s="61">
        <f>'№8 ведом.'!F323</f>
        <v>33.5</v>
      </c>
      <c r="E71" s="61">
        <f>'№8 ведом.'!G323</f>
        <v>33.5</v>
      </c>
      <c r="F71" s="62"/>
    </row>
    <row r="72" spans="1:6" ht="33.6">
      <c r="A72" s="8" t="s">
        <v>497</v>
      </c>
      <c r="B72" s="8"/>
      <c r="C72" s="56" t="s">
        <v>498</v>
      </c>
      <c r="D72" s="61">
        <f>D73</f>
        <v>27.9</v>
      </c>
      <c r="E72" s="61">
        <f>E73</f>
        <v>27.9</v>
      </c>
      <c r="F72" s="62"/>
    </row>
    <row r="73" spans="1:6" ht="33.6">
      <c r="A73" s="8" t="s">
        <v>497</v>
      </c>
      <c r="B73" s="8" t="s">
        <v>362</v>
      </c>
      <c r="C73" s="56" t="s">
        <v>367</v>
      </c>
      <c r="D73" s="61">
        <f>'№8 ведом.'!F325</f>
        <v>27.9</v>
      </c>
      <c r="E73" s="61">
        <f>'№8 ведом.'!G325</f>
        <v>27.9</v>
      </c>
      <c r="F73" s="62"/>
    </row>
    <row r="74" spans="1:6" ht="12.75">
      <c r="A74" s="8" t="s">
        <v>137</v>
      </c>
      <c r="B74" s="8"/>
      <c r="C74" s="56" t="s">
        <v>132</v>
      </c>
      <c r="D74" s="61">
        <f>D75</f>
        <v>4508.1</v>
      </c>
      <c r="E74" s="61">
        <f>E75</f>
        <v>4508.1</v>
      </c>
      <c r="F74" s="62"/>
    </row>
    <row r="75" spans="1:6" ht="33.6">
      <c r="A75" s="8" t="s">
        <v>137</v>
      </c>
      <c r="B75" s="8" t="s">
        <v>362</v>
      </c>
      <c r="C75" s="56" t="s">
        <v>367</v>
      </c>
      <c r="D75" s="61">
        <f>'№8 ведом.'!F326</f>
        <v>4508.1</v>
      </c>
      <c r="E75" s="61">
        <f>'№8 ведом.'!G326</f>
        <v>4508.1</v>
      </c>
      <c r="F75" s="62"/>
    </row>
    <row r="76" spans="1:6" ht="33.6">
      <c r="A76" s="8" t="s">
        <v>138</v>
      </c>
      <c r="B76" s="8"/>
      <c r="C76" s="56" t="s">
        <v>133</v>
      </c>
      <c r="D76" s="61">
        <f>D77</f>
        <v>230.9</v>
      </c>
      <c r="E76" s="61">
        <f>E77</f>
        <v>230.9</v>
      </c>
      <c r="F76" s="62"/>
    </row>
    <row r="77" spans="1:6" ht="33.6">
      <c r="A77" s="8" t="s">
        <v>138</v>
      </c>
      <c r="B77" s="8" t="s">
        <v>362</v>
      </c>
      <c r="C77" s="56" t="s">
        <v>367</v>
      </c>
      <c r="D77" s="61">
        <f>'№8 ведом.'!F328</f>
        <v>230.9</v>
      </c>
      <c r="E77" s="61">
        <f>'№8 ведом.'!G328</f>
        <v>230.9</v>
      </c>
      <c r="F77" s="62"/>
    </row>
    <row r="78" spans="1:6" ht="12.75">
      <c r="A78" s="8" t="s">
        <v>139</v>
      </c>
      <c r="B78" s="8"/>
      <c r="C78" s="56" t="s">
        <v>134</v>
      </c>
      <c r="D78" s="61">
        <f>D79</f>
        <v>56</v>
      </c>
      <c r="E78" s="61">
        <f>E79</f>
        <v>56</v>
      </c>
      <c r="F78" s="62"/>
    </row>
    <row r="79" spans="1:6" ht="33.6">
      <c r="A79" s="8" t="s">
        <v>139</v>
      </c>
      <c r="B79" s="8" t="s">
        <v>362</v>
      </c>
      <c r="C79" s="56" t="s">
        <v>367</v>
      </c>
      <c r="D79" s="61">
        <f>'№8 ведом.'!F330</f>
        <v>56</v>
      </c>
      <c r="E79" s="61">
        <f>'№8 ведом.'!G330</f>
        <v>56</v>
      </c>
      <c r="F79" s="62"/>
    </row>
    <row r="80" spans="1:6" ht="33.6">
      <c r="A80" s="8" t="s">
        <v>140</v>
      </c>
      <c r="B80" s="8"/>
      <c r="C80" s="56" t="s">
        <v>135</v>
      </c>
      <c r="D80" s="61">
        <f>D81</f>
        <v>35</v>
      </c>
      <c r="E80" s="61">
        <f>E81</f>
        <v>35</v>
      </c>
      <c r="F80" s="62"/>
    </row>
    <row r="81" spans="1:6" ht="33.6">
      <c r="A81" s="8" t="s">
        <v>140</v>
      </c>
      <c r="B81" s="8" t="s">
        <v>362</v>
      </c>
      <c r="C81" s="56" t="s">
        <v>367</v>
      </c>
      <c r="D81" s="61">
        <f>'№8 ведом.'!F332</f>
        <v>35</v>
      </c>
      <c r="E81" s="61">
        <f>'№8 ведом.'!G332</f>
        <v>35</v>
      </c>
      <c r="F81" s="62"/>
    </row>
    <row r="82" spans="1:6" ht="50.4">
      <c r="A82" s="8" t="s">
        <v>141</v>
      </c>
      <c r="B82" s="8"/>
      <c r="C82" s="56" t="s">
        <v>136</v>
      </c>
      <c r="D82" s="61">
        <f>D83</f>
        <v>159</v>
      </c>
      <c r="E82" s="61">
        <f>E83</f>
        <v>159</v>
      </c>
      <c r="F82" s="62"/>
    </row>
    <row r="83" spans="1:6" ht="33.6">
      <c r="A83" s="8" t="s">
        <v>141</v>
      </c>
      <c r="B83" s="8" t="s">
        <v>362</v>
      </c>
      <c r="C83" s="56" t="s">
        <v>367</v>
      </c>
      <c r="D83" s="61">
        <f>'№8 ведом.'!F334</f>
        <v>159</v>
      </c>
      <c r="E83" s="61">
        <f>'№8 ведом.'!G334</f>
        <v>159</v>
      </c>
      <c r="F83" s="62"/>
    </row>
    <row r="84" spans="1:6" s="36" customFormat="1" ht="12.75">
      <c r="A84" s="26" t="s">
        <v>102</v>
      </c>
      <c r="B84" s="47"/>
      <c r="C84" s="27" t="s">
        <v>343</v>
      </c>
      <c r="D84" s="95">
        <f>D85+D87+D89</f>
        <v>15510.4</v>
      </c>
      <c r="E84" s="95">
        <f>E85+E87+E89</f>
        <v>15488.599999999999</v>
      </c>
      <c r="F84" s="106"/>
    </row>
    <row r="85" spans="1:6" ht="67.2">
      <c r="A85" s="8" t="s">
        <v>103</v>
      </c>
      <c r="B85" s="8"/>
      <c r="C85" s="56" t="s">
        <v>63</v>
      </c>
      <c r="D85" s="61">
        <f>D86</f>
        <v>2041.1000000000004</v>
      </c>
      <c r="E85" s="61">
        <f>E86</f>
        <v>2041.1000000000001</v>
      </c>
      <c r="F85" s="62"/>
    </row>
    <row r="86" spans="1:6" ht="33.6">
      <c r="A86" s="8" t="s">
        <v>103</v>
      </c>
      <c r="B86" s="8" t="s">
        <v>370</v>
      </c>
      <c r="C86" s="56" t="s">
        <v>371</v>
      </c>
      <c r="D86" s="61">
        <f>'№8 ведом.'!F435</f>
        <v>2041.1000000000004</v>
      </c>
      <c r="E86" s="61">
        <f>'№8 ведом.'!G435</f>
        <v>2041.1000000000001</v>
      </c>
      <c r="F86" s="62"/>
    </row>
    <row r="87" spans="1:6" ht="50.4">
      <c r="A87" s="8" t="s">
        <v>104</v>
      </c>
      <c r="B87" s="8"/>
      <c r="C87" s="23" t="s">
        <v>197</v>
      </c>
      <c r="D87" s="61">
        <f>D88</f>
        <v>8601.9</v>
      </c>
      <c r="E87" s="61">
        <f>E88</f>
        <v>8581.099999999999</v>
      </c>
      <c r="F87" s="62"/>
    </row>
    <row r="88" spans="1:6" ht="33.6">
      <c r="A88" s="8" t="s">
        <v>104</v>
      </c>
      <c r="B88" s="8" t="s">
        <v>370</v>
      </c>
      <c r="C88" s="56" t="s">
        <v>371</v>
      </c>
      <c r="D88" s="61">
        <f>'№8 ведом.'!F438</f>
        <v>8601.9</v>
      </c>
      <c r="E88" s="61">
        <f>'№8 ведом.'!G438</f>
        <v>8581.099999999999</v>
      </c>
      <c r="F88" s="62"/>
    </row>
    <row r="89" spans="1:6" ht="50.4">
      <c r="A89" s="8" t="s">
        <v>106</v>
      </c>
      <c r="B89" s="8"/>
      <c r="C89" s="56" t="s">
        <v>105</v>
      </c>
      <c r="D89" s="61">
        <f>D90</f>
        <v>4867.4</v>
      </c>
      <c r="E89" s="61">
        <f>E90</f>
        <v>4866.4</v>
      </c>
      <c r="F89" s="62"/>
    </row>
    <row r="90" spans="1:6" ht="33.6">
      <c r="A90" s="8" t="s">
        <v>106</v>
      </c>
      <c r="B90" s="8" t="s">
        <v>370</v>
      </c>
      <c r="C90" s="56" t="s">
        <v>371</v>
      </c>
      <c r="D90" s="61">
        <f>'№8 ведом.'!F442</f>
        <v>4867.4</v>
      </c>
      <c r="E90" s="61">
        <f>'№8 ведом.'!G442</f>
        <v>4866.4</v>
      </c>
      <c r="F90" s="62"/>
    </row>
    <row r="91" spans="1:6" s="36" customFormat="1" ht="50.4">
      <c r="A91" s="26" t="s">
        <v>179</v>
      </c>
      <c r="B91" s="26"/>
      <c r="C91" s="27" t="s">
        <v>180</v>
      </c>
      <c r="D91" s="95">
        <f>D92+D121</f>
        <v>48493.6</v>
      </c>
      <c r="E91" s="95">
        <f>E92+E121</f>
        <v>42559.99999999999</v>
      </c>
      <c r="F91" s="106"/>
    </row>
    <row r="92" spans="1:6" s="36" customFormat="1" ht="33.6">
      <c r="A92" s="59" t="s">
        <v>181</v>
      </c>
      <c r="B92" s="6"/>
      <c r="C92" s="27" t="s">
        <v>182</v>
      </c>
      <c r="D92" s="95">
        <f>D93+D95+D97+D99+D103+D105+D107+D111+D101+D113+D117+D119+D109+D115</f>
        <v>40903.6</v>
      </c>
      <c r="E92" s="95">
        <f>E93+E95+E97+E99+E103+E105+E107+E111+E101+E113+E117+E119+E109+E115</f>
        <v>40759.99999999999</v>
      </c>
      <c r="F92" s="106"/>
    </row>
    <row r="93" spans="1:6" ht="33.6">
      <c r="A93" s="8" t="s">
        <v>186</v>
      </c>
      <c r="B93" s="8"/>
      <c r="C93" s="56" t="s">
        <v>183</v>
      </c>
      <c r="D93" s="61">
        <f>D94</f>
        <v>9</v>
      </c>
      <c r="E93" s="61">
        <f>E94</f>
        <v>9</v>
      </c>
      <c r="F93" s="62"/>
    </row>
    <row r="94" spans="1:6" ht="12.75">
      <c r="A94" s="8" t="s">
        <v>186</v>
      </c>
      <c r="B94" s="8" t="s">
        <v>385</v>
      </c>
      <c r="C94" s="56" t="s">
        <v>78</v>
      </c>
      <c r="D94" s="61">
        <f>'№8 ведом.'!F150</f>
        <v>9</v>
      </c>
      <c r="E94" s="61">
        <f>'№8 ведом.'!G150</f>
        <v>9</v>
      </c>
      <c r="F94" s="62"/>
    </row>
    <row r="95" spans="1:6" ht="33.6">
      <c r="A95" s="8" t="s">
        <v>187</v>
      </c>
      <c r="B95" s="8"/>
      <c r="C95" s="56" t="s">
        <v>184</v>
      </c>
      <c r="D95" s="61">
        <f>D96</f>
        <v>45</v>
      </c>
      <c r="E95" s="61">
        <f>E96</f>
        <v>45</v>
      </c>
      <c r="F95" s="62"/>
    </row>
    <row r="96" spans="1:6" ht="12.75">
      <c r="A96" s="8" t="s">
        <v>187</v>
      </c>
      <c r="B96" s="8" t="s">
        <v>385</v>
      </c>
      <c r="C96" s="56" t="s">
        <v>78</v>
      </c>
      <c r="D96" s="61">
        <f>'№8 ведом.'!F152</f>
        <v>45</v>
      </c>
      <c r="E96" s="61">
        <f>'№8 ведом.'!G152</f>
        <v>45</v>
      </c>
      <c r="F96" s="62"/>
    </row>
    <row r="97" spans="1:6" ht="33.6">
      <c r="A97" s="8" t="s">
        <v>188</v>
      </c>
      <c r="B97" s="8"/>
      <c r="C97" s="56" t="s">
        <v>185</v>
      </c>
      <c r="D97" s="61">
        <f>D98</f>
        <v>1036.8</v>
      </c>
      <c r="E97" s="61">
        <f>E98</f>
        <v>1036.8</v>
      </c>
      <c r="F97" s="62"/>
    </row>
    <row r="98" spans="1:6" ht="12.75">
      <c r="A98" s="8" t="s">
        <v>188</v>
      </c>
      <c r="B98" s="8" t="s">
        <v>385</v>
      </c>
      <c r="C98" s="56" t="s">
        <v>78</v>
      </c>
      <c r="D98" s="61">
        <f>'№8 ведом.'!F154</f>
        <v>1036.8</v>
      </c>
      <c r="E98" s="61">
        <f>'№8 ведом.'!G154</f>
        <v>1036.8</v>
      </c>
      <c r="F98" s="62"/>
    </row>
    <row r="99" spans="1:6" ht="33.6">
      <c r="A99" s="8" t="s">
        <v>189</v>
      </c>
      <c r="B99" s="8"/>
      <c r="C99" s="56" t="s">
        <v>190</v>
      </c>
      <c r="D99" s="61">
        <f>D100</f>
        <v>280</v>
      </c>
      <c r="E99" s="61">
        <f>E100</f>
        <v>279.9</v>
      </c>
      <c r="F99" s="62"/>
    </row>
    <row r="100" spans="1:6" ht="12.75">
      <c r="A100" s="8" t="s">
        <v>189</v>
      </c>
      <c r="B100" s="8" t="s">
        <v>385</v>
      </c>
      <c r="C100" s="56" t="s">
        <v>78</v>
      </c>
      <c r="D100" s="61">
        <f>'№8 ведом.'!F157</f>
        <v>280</v>
      </c>
      <c r="E100" s="61">
        <f>'№8 ведом.'!G157</f>
        <v>279.9</v>
      </c>
      <c r="F100" s="62"/>
    </row>
    <row r="101" spans="1:6" ht="12.75">
      <c r="A101" s="8" t="s">
        <v>330</v>
      </c>
      <c r="B101" s="8"/>
      <c r="C101" s="56" t="s">
        <v>331</v>
      </c>
      <c r="D101" s="61">
        <f>D102</f>
        <v>195</v>
      </c>
      <c r="E101" s="61">
        <f>E102</f>
        <v>195</v>
      </c>
      <c r="F101" s="62"/>
    </row>
    <row r="102" spans="1:6" ht="12.75">
      <c r="A102" s="8" t="s">
        <v>330</v>
      </c>
      <c r="B102" s="8" t="s">
        <v>385</v>
      </c>
      <c r="C102" s="56" t="s">
        <v>78</v>
      </c>
      <c r="D102" s="61">
        <f>'№8 ведом.'!F160</f>
        <v>195</v>
      </c>
      <c r="E102" s="61">
        <f>'№8 ведом.'!G160</f>
        <v>195</v>
      </c>
      <c r="F102" s="62"/>
    </row>
    <row r="103" spans="1:6" ht="33.6">
      <c r="A103" s="8" t="s">
        <v>192</v>
      </c>
      <c r="B103" s="8"/>
      <c r="C103" s="56" t="s">
        <v>191</v>
      </c>
      <c r="D103" s="61">
        <f>D104</f>
        <v>12974.1</v>
      </c>
      <c r="E103" s="61">
        <f>E104</f>
        <v>12923.9</v>
      </c>
      <c r="F103" s="62"/>
    </row>
    <row r="104" spans="1:6" ht="12.75">
      <c r="A104" s="8" t="s">
        <v>192</v>
      </c>
      <c r="B104" s="8" t="s">
        <v>385</v>
      </c>
      <c r="C104" s="56" t="s">
        <v>78</v>
      </c>
      <c r="D104" s="61">
        <f>'№8 ведом.'!F161</f>
        <v>12974.1</v>
      </c>
      <c r="E104" s="61">
        <f>'№8 ведом.'!G161</f>
        <v>12923.9</v>
      </c>
      <c r="F104" s="62"/>
    </row>
    <row r="105" spans="1:6" ht="33.6">
      <c r="A105" s="8" t="s">
        <v>282</v>
      </c>
      <c r="B105" s="8"/>
      <c r="C105" s="56" t="s">
        <v>283</v>
      </c>
      <c r="D105" s="61">
        <f>D106</f>
        <v>15249.6</v>
      </c>
      <c r="E105" s="61">
        <f>E106</f>
        <v>15161.8</v>
      </c>
      <c r="F105" s="62"/>
    </row>
    <row r="106" spans="1:6" ht="12.75">
      <c r="A106" s="8" t="s">
        <v>282</v>
      </c>
      <c r="B106" s="8" t="s">
        <v>385</v>
      </c>
      <c r="C106" s="56" t="s">
        <v>78</v>
      </c>
      <c r="D106" s="61">
        <f>'№8 ведом.'!F145</f>
        <v>15249.6</v>
      </c>
      <c r="E106" s="61">
        <f>'№8 ведом.'!G145</f>
        <v>15161.8</v>
      </c>
      <c r="F106" s="62"/>
    </row>
    <row r="107" spans="1:6" ht="50.4">
      <c r="A107" s="8" t="s">
        <v>194</v>
      </c>
      <c r="B107" s="8"/>
      <c r="C107" s="56" t="s">
        <v>193</v>
      </c>
      <c r="D107" s="61">
        <f>D108</f>
        <v>53</v>
      </c>
      <c r="E107" s="61">
        <f>E108</f>
        <v>52.7</v>
      </c>
      <c r="F107" s="62"/>
    </row>
    <row r="108" spans="1:6" ht="12.75">
      <c r="A108" s="8" t="s">
        <v>194</v>
      </c>
      <c r="B108" s="8" t="s">
        <v>385</v>
      </c>
      <c r="C108" s="56" t="s">
        <v>78</v>
      </c>
      <c r="D108" s="61">
        <f>'№8 ведом.'!F163</f>
        <v>53</v>
      </c>
      <c r="E108" s="61">
        <f>'№8 ведом.'!G163</f>
        <v>52.7</v>
      </c>
      <c r="F108" s="62"/>
    </row>
    <row r="109" spans="1:6" ht="33.6">
      <c r="A109" s="8" t="s">
        <v>502</v>
      </c>
      <c r="B109" s="8"/>
      <c r="C109" s="56" t="s">
        <v>501</v>
      </c>
      <c r="D109" s="61">
        <f>D110</f>
        <v>95.3</v>
      </c>
      <c r="E109" s="61">
        <f>E110</f>
        <v>95.3</v>
      </c>
      <c r="F109" s="62"/>
    </row>
    <row r="110" spans="1:6" ht="12.75">
      <c r="A110" s="8" t="s">
        <v>502</v>
      </c>
      <c r="B110" s="8" t="s">
        <v>385</v>
      </c>
      <c r="C110" s="56" t="s">
        <v>78</v>
      </c>
      <c r="D110" s="61">
        <f>'№8 ведом.'!F166</f>
        <v>95.3</v>
      </c>
      <c r="E110" s="61">
        <f>'№8 ведом.'!G166</f>
        <v>95.3</v>
      </c>
      <c r="F110" s="62"/>
    </row>
    <row r="111" spans="1:6" ht="12.75">
      <c r="A111" s="8" t="s">
        <v>195</v>
      </c>
      <c r="B111" s="8"/>
      <c r="C111" s="56" t="s">
        <v>196</v>
      </c>
      <c r="D111" s="61">
        <f>D112</f>
        <v>9855.5</v>
      </c>
      <c r="E111" s="61">
        <f>E112</f>
        <v>9850.699999999999</v>
      </c>
      <c r="F111" s="62"/>
    </row>
    <row r="112" spans="1:6" ht="12.75">
      <c r="A112" s="8" t="s">
        <v>195</v>
      </c>
      <c r="B112" s="8" t="s">
        <v>385</v>
      </c>
      <c r="C112" s="56" t="s">
        <v>78</v>
      </c>
      <c r="D112" s="61">
        <f>'№8 ведом.'!F167</f>
        <v>9855.5</v>
      </c>
      <c r="E112" s="61">
        <f>'№8 ведом.'!G167</f>
        <v>9850.699999999999</v>
      </c>
      <c r="F112" s="62"/>
    </row>
    <row r="113" spans="1:6" ht="33.6">
      <c r="A113" s="8" t="s">
        <v>425</v>
      </c>
      <c r="B113" s="8"/>
      <c r="C113" s="9" t="s">
        <v>428</v>
      </c>
      <c r="D113" s="61">
        <f>D114</f>
        <v>643.6</v>
      </c>
      <c r="E113" s="61">
        <f>E114</f>
        <v>643.2</v>
      </c>
      <c r="F113" s="62"/>
    </row>
    <row r="114" spans="1:6" ht="12.75">
      <c r="A114" s="8" t="s">
        <v>425</v>
      </c>
      <c r="B114" s="8" t="s">
        <v>385</v>
      </c>
      <c r="C114" s="56" t="s">
        <v>78</v>
      </c>
      <c r="D114" s="61">
        <f>'№8 ведом.'!F172</f>
        <v>643.6</v>
      </c>
      <c r="E114" s="61">
        <f>'№8 ведом.'!G172</f>
        <v>643.2</v>
      </c>
      <c r="F114" s="62"/>
    </row>
    <row r="115" spans="1:6" ht="67.2">
      <c r="A115" s="8" t="s">
        <v>506</v>
      </c>
      <c r="B115" s="8"/>
      <c r="C115" s="9" t="s">
        <v>507</v>
      </c>
      <c r="D115" s="61">
        <f>D116</f>
        <v>254.5</v>
      </c>
      <c r="E115" s="61">
        <f>E116</f>
        <v>254.5</v>
      </c>
      <c r="F115" s="62"/>
    </row>
    <row r="116" spans="1:6" ht="12.75">
      <c r="A116" s="8" t="s">
        <v>506</v>
      </c>
      <c r="B116" s="8" t="s">
        <v>385</v>
      </c>
      <c r="C116" s="56" t="s">
        <v>78</v>
      </c>
      <c r="D116" s="61">
        <f>'№8 ведом.'!F174</f>
        <v>254.5</v>
      </c>
      <c r="E116" s="61">
        <f>'№8 ведом.'!G174</f>
        <v>254.5</v>
      </c>
      <c r="F116" s="62"/>
    </row>
    <row r="117" spans="1:6" ht="50.4">
      <c r="A117" s="8" t="s">
        <v>431</v>
      </c>
      <c r="B117" s="8"/>
      <c r="C117" s="9" t="s">
        <v>432</v>
      </c>
      <c r="D117" s="61">
        <f>D118</f>
        <v>45.1</v>
      </c>
      <c r="E117" s="61">
        <f>E118</f>
        <v>45.1</v>
      </c>
      <c r="F117" s="62"/>
    </row>
    <row r="118" spans="1:6" ht="12.75">
      <c r="A118" s="8" t="s">
        <v>431</v>
      </c>
      <c r="B118" s="8" t="s">
        <v>385</v>
      </c>
      <c r="C118" s="56" t="s">
        <v>78</v>
      </c>
      <c r="D118" s="61">
        <f>'№8 ведом.'!F176</f>
        <v>45.1</v>
      </c>
      <c r="E118" s="61">
        <f>'№8 ведом.'!G176</f>
        <v>45.1</v>
      </c>
      <c r="F118" s="62"/>
    </row>
    <row r="119" spans="1:6" ht="50.4">
      <c r="A119" s="8" t="s">
        <v>433</v>
      </c>
      <c r="B119" s="8"/>
      <c r="C119" s="9" t="s">
        <v>435</v>
      </c>
      <c r="D119" s="61">
        <f>D120</f>
        <v>167.1</v>
      </c>
      <c r="E119" s="61">
        <f>E120</f>
        <v>167.1</v>
      </c>
      <c r="F119" s="62"/>
    </row>
    <row r="120" spans="1:6" ht="12.75">
      <c r="A120" s="8" t="s">
        <v>433</v>
      </c>
      <c r="B120" s="8" t="s">
        <v>385</v>
      </c>
      <c r="C120" s="56" t="s">
        <v>78</v>
      </c>
      <c r="D120" s="61">
        <f>'№8 ведом.'!F178</f>
        <v>167.1</v>
      </c>
      <c r="E120" s="61">
        <f>'№8 ведом.'!G178</f>
        <v>167.1</v>
      </c>
      <c r="F120" s="62"/>
    </row>
    <row r="121" spans="1:6" s="36" customFormat="1" ht="33.6">
      <c r="A121" s="59" t="s">
        <v>199</v>
      </c>
      <c r="B121" s="6"/>
      <c r="C121" s="27" t="s">
        <v>198</v>
      </c>
      <c r="D121" s="95">
        <f aca="true" t="shared" si="0" ref="D121:E122">D122</f>
        <v>7590</v>
      </c>
      <c r="E121" s="95">
        <f t="shared" si="0"/>
        <v>1800</v>
      </c>
      <c r="F121" s="106"/>
    </row>
    <row r="122" spans="1:6" ht="12.75">
      <c r="A122" s="8" t="s">
        <v>77</v>
      </c>
      <c r="B122" s="8"/>
      <c r="C122" s="9" t="s">
        <v>312</v>
      </c>
      <c r="D122" s="61">
        <f t="shared" si="0"/>
        <v>7590</v>
      </c>
      <c r="E122" s="61">
        <f t="shared" si="0"/>
        <v>1800</v>
      </c>
      <c r="F122" s="62"/>
    </row>
    <row r="123" spans="1:6" ht="12.75">
      <c r="A123" s="8" t="s">
        <v>77</v>
      </c>
      <c r="B123" s="8" t="s">
        <v>385</v>
      </c>
      <c r="C123" s="56" t="s">
        <v>78</v>
      </c>
      <c r="D123" s="61">
        <f>'№8 ведом.'!F180</f>
        <v>7590</v>
      </c>
      <c r="E123" s="61">
        <f>'№8 ведом.'!G180</f>
        <v>1800</v>
      </c>
      <c r="F123" s="62"/>
    </row>
    <row r="124" spans="1:6" s="36" customFormat="1" ht="50.4">
      <c r="A124" s="26" t="s">
        <v>143</v>
      </c>
      <c r="B124" s="26"/>
      <c r="C124" s="27" t="s">
        <v>142</v>
      </c>
      <c r="D124" s="95">
        <f>D125+D136</f>
        <v>25935.300000000003</v>
      </c>
      <c r="E124" s="95">
        <f>E125+E136</f>
        <v>25589.5</v>
      </c>
      <c r="F124" s="106"/>
    </row>
    <row r="125" spans="1:6" s="36" customFormat="1" ht="33.6">
      <c r="A125" s="59" t="s">
        <v>145</v>
      </c>
      <c r="B125" s="275"/>
      <c r="C125" s="27" t="s">
        <v>144</v>
      </c>
      <c r="D125" s="95">
        <f>D126+D128+D130+D132+D134</f>
        <v>23739.7</v>
      </c>
      <c r="E125" s="95">
        <f>E126+E128+E130+E132+E134</f>
        <v>23406.8</v>
      </c>
      <c r="F125" s="106"/>
    </row>
    <row r="126" spans="1:6" ht="33.6">
      <c r="A126" s="8" t="s">
        <v>152</v>
      </c>
      <c r="B126" s="8"/>
      <c r="C126" s="56" t="s">
        <v>149</v>
      </c>
      <c r="D126" s="61">
        <f>D127</f>
        <v>1190.7</v>
      </c>
      <c r="E126" s="61">
        <f>E127</f>
        <v>1186.6</v>
      </c>
      <c r="F126" s="62"/>
    </row>
    <row r="127" spans="1:6" ht="33.6">
      <c r="A127" s="8" t="s">
        <v>152</v>
      </c>
      <c r="B127" s="8" t="s">
        <v>362</v>
      </c>
      <c r="C127" s="56" t="s">
        <v>367</v>
      </c>
      <c r="D127" s="61">
        <f>'№8 ведом.'!F350</f>
        <v>1190.7</v>
      </c>
      <c r="E127" s="61">
        <f>'№8 ведом.'!G350</f>
        <v>1186.6</v>
      </c>
      <c r="F127" s="62"/>
    </row>
    <row r="128" spans="1:6" ht="50.4">
      <c r="A128" s="8" t="s">
        <v>153</v>
      </c>
      <c r="B128" s="8"/>
      <c r="C128" s="56" t="s">
        <v>150</v>
      </c>
      <c r="D128" s="61">
        <f>D129</f>
        <v>9147.1</v>
      </c>
      <c r="E128" s="61">
        <f>E129</f>
        <v>9147.1</v>
      </c>
      <c r="F128" s="62"/>
    </row>
    <row r="129" spans="1:6" ht="33.6">
      <c r="A129" s="8" t="s">
        <v>153</v>
      </c>
      <c r="B129" s="8" t="s">
        <v>362</v>
      </c>
      <c r="C129" s="56" t="s">
        <v>367</v>
      </c>
      <c r="D129" s="61">
        <f>'№8 ведом.'!F355</f>
        <v>9147.1</v>
      </c>
      <c r="E129" s="61">
        <f>'№8 ведом.'!G355</f>
        <v>9147.1</v>
      </c>
      <c r="F129" s="62"/>
    </row>
    <row r="130" spans="1:6" ht="50.4">
      <c r="A130" s="8" t="s">
        <v>147</v>
      </c>
      <c r="B130" s="8"/>
      <c r="C130" s="56" t="s">
        <v>146</v>
      </c>
      <c r="D130" s="61">
        <f>D131</f>
        <v>12921.5</v>
      </c>
      <c r="E130" s="61">
        <f>E131</f>
        <v>12592.7</v>
      </c>
      <c r="F130" s="62"/>
    </row>
    <row r="131" spans="1:6" ht="33.6">
      <c r="A131" s="8" t="s">
        <v>147</v>
      </c>
      <c r="B131" s="8" t="s">
        <v>362</v>
      </c>
      <c r="C131" s="56" t="s">
        <v>367</v>
      </c>
      <c r="D131" s="61">
        <f>'№8 ведом.'!F308</f>
        <v>12921.5</v>
      </c>
      <c r="E131" s="61">
        <f>'№8 ведом.'!G308</f>
        <v>12592.7</v>
      </c>
      <c r="F131" s="62"/>
    </row>
    <row r="132" spans="1:6" ht="50.4">
      <c r="A132" s="8" t="s">
        <v>154</v>
      </c>
      <c r="B132" s="8"/>
      <c r="C132" s="56" t="s">
        <v>151</v>
      </c>
      <c r="D132" s="61">
        <f>D133</f>
        <v>365.3</v>
      </c>
      <c r="E132" s="61">
        <f>E133</f>
        <v>365.3</v>
      </c>
      <c r="F132" s="62"/>
    </row>
    <row r="133" spans="1:6" ht="33.6">
      <c r="A133" s="8" t="s">
        <v>154</v>
      </c>
      <c r="B133" s="8" t="s">
        <v>362</v>
      </c>
      <c r="C133" s="56" t="s">
        <v>367</v>
      </c>
      <c r="D133" s="61">
        <f>'№8 ведом.'!F357</f>
        <v>365.3</v>
      </c>
      <c r="E133" s="61">
        <f>'№8 ведом.'!G357</f>
        <v>365.3</v>
      </c>
      <c r="F133" s="62"/>
    </row>
    <row r="134" spans="1:6" ht="50.4">
      <c r="A134" s="127" t="s">
        <v>499</v>
      </c>
      <c r="B134" s="196"/>
      <c r="C134" s="9" t="s">
        <v>500</v>
      </c>
      <c r="D134" s="61">
        <f>D135</f>
        <v>115.1</v>
      </c>
      <c r="E134" s="61">
        <f>E135</f>
        <v>115.1</v>
      </c>
      <c r="F134" s="62"/>
    </row>
    <row r="135" spans="1:6" ht="33.6">
      <c r="A135" s="127" t="s">
        <v>499</v>
      </c>
      <c r="B135" s="8" t="s">
        <v>362</v>
      </c>
      <c r="C135" s="56" t="s">
        <v>367</v>
      </c>
      <c r="D135" s="61">
        <f>'№8 ведом.'!F311</f>
        <v>115.1</v>
      </c>
      <c r="E135" s="61">
        <f>'№8 ведом.'!G311</f>
        <v>115.1</v>
      </c>
      <c r="F135" s="62"/>
    </row>
    <row r="136" spans="1:6" s="36" customFormat="1" ht="12.75">
      <c r="A136" s="59" t="s">
        <v>156</v>
      </c>
      <c r="B136" s="275"/>
      <c r="C136" s="27" t="s">
        <v>343</v>
      </c>
      <c r="D136" s="95">
        <f aca="true" t="shared" si="1" ref="D136:E137">D137</f>
        <v>2195.6000000000004</v>
      </c>
      <c r="E136" s="95">
        <f t="shared" si="1"/>
        <v>2182.7000000000003</v>
      </c>
      <c r="F136" s="106"/>
    </row>
    <row r="137" spans="1:6" ht="67.2">
      <c r="A137" s="8" t="s">
        <v>157</v>
      </c>
      <c r="B137" s="8"/>
      <c r="C137" s="56" t="s">
        <v>63</v>
      </c>
      <c r="D137" s="61">
        <f t="shared" si="1"/>
        <v>2195.6000000000004</v>
      </c>
      <c r="E137" s="61">
        <f t="shared" si="1"/>
        <v>2182.7000000000003</v>
      </c>
      <c r="F137" s="62"/>
    </row>
    <row r="138" spans="1:6" ht="33.6">
      <c r="A138" s="8" t="s">
        <v>157</v>
      </c>
      <c r="B138" s="8" t="s">
        <v>362</v>
      </c>
      <c r="C138" s="56" t="s">
        <v>367</v>
      </c>
      <c r="D138" s="61">
        <f>'№8 ведом.'!F365</f>
        <v>2195.6000000000004</v>
      </c>
      <c r="E138" s="61">
        <f>'№8 ведом.'!G365</f>
        <v>2182.7000000000003</v>
      </c>
      <c r="F138" s="62"/>
    </row>
    <row r="139" spans="1:6" s="36" customFormat="1" ht="67.2">
      <c r="A139" s="26" t="s">
        <v>175</v>
      </c>
      <c r="B139" s="26"/>
      <c r="C139" s="27" t="s">
        <v>173</v>
      </c>
      <c r="D139" s="95">
        <f>D140+D147+D154</f>
        <v>31556.699999999997</v>
      </c>
      <c r="E139" s="95">
        <f>E140+E147+E154</f>
        <v>30314.800000000003</v>
      </c>
      <c r="F139" s="106"/>
    </row>
    <row r="140" spans="1:6" s="36" customFormat="1" ht="50.4">
      <c r="A140" s="59" t="s">
        <v>265</v>
      </c>
      <c r="B140" s="275"/>
      <c r="C140" s="27" t="s">
        <v>263</v>
      </c>
      <c r="D140" s="95">
        <f>D145+D141+D143</f>
        <v>18848.1</v>
      </c>
      <c r="E140" s="95">
        <f>E145+E141+E143</f>
        <v>18805.4</v>
      </c>
      <c r="F140" s="106"/>
    </row>
    <row r="141" spans="1:6" s="36" customFormat="1" ht="84">
      <c r="A141" s="8" t="s">
        <v>324</v>
      </c>
      <c r="B141" s="8"/>
      <c r="C141" s="56" t="s">
        <v>326</v>
      </c>
      <c r="D141" s="61">
        <f>D142</f>
        <v>5673.8</v>
      </c>
      <c r="E141" s="61">
        <f>E142</f>
        <v>5654.1</v>
      </c>
      <c r="F141" s="106"/>
    </row>
    <row r="142" spans="1:6" s="36" customFormat="1" ht="12.75">
      <c r="A142" s="8" t="s">
        <v>324</v>
      </c>
      <c r="B142" s="8" t="s">
        <v>385</v>
      </c>
      <c r="C142" s="56" t="s">
        <v>78</v>
      </c>
      <c r="D142" s="61">
        <f>'№8 ведом.'!F109</f>
        <v>5673.8</v>
      </c>
      <c r="E142" s="61">
        <f>'№8 ведом.'!G109</f>
        <v>5654.1</v>
      </c>
      <c r="F142" s="106"/>
    </row>
    <row r="143" spans="1:6" s="36" customFormat="1" ht="50.4">
      <c r="A143" s="8" t="s">
        <v>325</v>
      </c>
      <c r="B143" s="8"/>
      <c r="C143" s="56" t="s">
        <v>327</v>
      </c>
      <c r="D143" s="61">
        <f>D144</f>
        <v>6640.599999999999</v>
      </c>
      <c r="E143" s="61">
        <f>E144</f>
        <v>6617.6</v>
      </c>
      <c r="F143" s="106"/>
    </row>
    <row r="144" spans="1:6" s="36" customFormat="1" ht="12.75">
      <c r="A144" s="8" t="s">
        <v>325</v>
      </c>
      <c r="B144" s="8" t="s">
        <v>385</v>
      </c>
      <c r="C144" s="56" t="s">
        <v>78</v>
      </c>
      <c r="D144" s="61">
        <f>'№8 ведом.'!F111</f>
        <v>6640.599999999999</v>
      </c>
      <c r="E144" s="61">
        <f>'№8 ведом.'!G111</f>
        <v>6617.6</v>
      </c>
      <c r="F144" s="106"/>
    </row>
    <row r="145" spans="1:6" ht="50.4">
      <c r="A145" s="8" t="s">
        <v>313</v>
      </c>
      <c r="B145" s="8"/>
      <c r="C145" s="56" t="s">
        <v>264</v>
      </c>
      <c r="D145" s="61">
        <f>D146</f>
        <v>6533.7</v>
      </c>
      <c r="E145" s="61">
        <f>E146</f>
        <v>6533.7</v>
      </c>
      <c r="F145" s="62"/>
    </row>
    <row r="146" spans="1:6" ht="12.75">
      <c r="A146" s="8" t="s">
        <v>313</v>
      </c>
      <c r="B146" s="8" t="s">
        <v>385</v>
      </c>
      <c r="C146" s="56" t="s">
        <v>78</v>
      </c>
      <c r="D146" s="61">
        <f>'№8 ведом.'!F112</f>
        <v>6533.7</v>
      </c>
      <c r="E146" s="61">
        <f>'№8 ведом.'!G112</f>
        <v>6533.7</v>
      </c>
      <c r="F146" s="62"/>
    </row>
    <row r="147" spans="1:6" s="36" customFormat="1" ht="33.6">
      <c r="A147" s="59" t="s">
        <v>259</v>
      </c>
      <c r="B147" s="275"/>
      <c r="C147" s="27" t="s">
        <v>258</v>
      </c>
      <c r="D147" s="95">
        <f>D148+D150+D152</f>
        <v>6287.1</v>
      </c>
      <c r="E147" s="95">
        <f>E148+E150+E152</f>
        <v>5088.2</v>
      </c>
      <c r="F147" s="106"/>
    </row>
    <row r="148" spans="1:6" ht="33.6">
      <c r="A148" s="8" t="s">
        <v>260</v>
      </c>
      <c r="B148" s="8"/>
      <c r="C148" s="56" t="s">
        <v>261</v>
      </c>
      <c r="D148" s="61">
        <f>D149</f>
        <v>3480.4</v>
      </c>
      <c r="E148" s="61">
        <f>E149</f>
        <v>2701.9</v>
      </c>
      <c r="F148" s="62"/>
    </row>
    <row r="149" spans="1:6" ht="33.6">
      <c r="A149" s="8" t="s">
        <v>260</v>
      </c>
      <c r="B149" s="8" t="s">
        <v>362</v>
      </c>
      <c r="C149" s="56" t="s">
        <v>367</v>
      </c>
      <c r="D149" s="61">
        <f>'№8 ведом.'!F340</f>
        <v>3480.4</v>
      </c>
      <c r="E149" s="61">
        <f>'№8 ведом.'!G340</f>
        <v>2701.9</v>
      </c>
      <c r="F149" s="62"/>
    </row>
    <row r="150" spans="1:6" ht="33.6">
      <c r="A150" s="8" t="s">
        <v>393</v>
      </c>
      <c r="B150" s="197"/>
      <c r="C150" s="9" t="s">
        <v>394</v>
      </c>
      <c r="D150" s="61">
        <f>D151</f>
        <v>1189.6000000000001</v>
      </c>
      <c r="E150" s="61">
        <f>E151</f>
        <v>1087.3</v>
      </c>
      <c r="F150" s="62"/>
    </row>
    <row r="151" spans="1:6" ht="33.6">
      <c r="A151" s="8" t="s">
        <v>393</v>
      </c>
      <c r="B151" s="8" t="s">
        <v>362</v>
      </c>
      <c r="C151" s="56" t="s">
        <v>367</v>
      </c>
      <c r="D151" s="61">
        <f>'№8 ведом.'!F343</f>
        <v>1189.6000000000001</v>
      </c>
      <c r="E151" s="61">
        <f>'№8 ведом.'!G343</f>
        <v>1087.3</v>
      </c>
      <c r="F151" s="62"/>
    </row>
    <row r="152" spans="1:6" ht="33.6">
      <c r="A152" s="8" t="s">
        <v>411</v>
      </c>
      <c r="B152" s="197"/>
      <c r="C152" s="9" t="s">
        <v>412</v>
      </c>
      <c r="D152" s="61">
        <f>D153</f>
        <v>1617.1</v>
      </c>
      <c r="E152" s="61">
        <f>E153</f>
        <v>1299</v>
      </c>
      <c r="F152" s="62"/>
    </row>
    <row r="153" spans="1:6" ht="33.6">
      <c r="A153" s="8" t="s">
        <v>411</v>
      </c>
      <c r="B153" s="8" t="s">
        <v>362</v>
      </c>
      <c r="C153" s="56" t="s">
        <v>367</v>
      </c>
      <c r="D153" s="61">
        <f>'№8 ведом.'!F345</f>
        <v>1617.1</v>
      </c>
      <c r="E153" s="61">
        <f>'№8 ведом.'!G345</f>
        <v>1299</v>
      </c>
      <c r="F153" s="62"/>
    </row>
    <row r="154" spans="1:6" s="36" customFormat="1" ht="33.6">
      <c r="A154" s="59" t="s">
        <v>176</v>
      </c>
      <c r="B154" s="275"/>
      <c r="C154" s="27" t="s">
        <v>174</v>
      </c>
      <c r="D154" s="95">
        <f>D155+D157</f>
        <v>6421.5</v>
      </c>
      <c r="E154" s="95">
        <f>E155+E157</f>
        <v>6421.2</v>
      </c>
      <c r="F154" s="106"/>
    </row>
    <row r="155" spans="1:6" ht="50.4">
      <c r="A155" s="8" t="s">
        <v>178</v>
      </c>
      <c r="B155" s="8"/>
      <c r="C155" s="56" t="s">
        <v>177</v>
      </c>
      <c r="D155" s="61">
        <f>D156</f>
        <v>2140.5</v>
      </c>
      <c r="E155" s="61">
        <f>E156</f>
        <v>2140.5</v>
      </c>
      <c r="F155" s="62"/>
    </row>
    <row r="156" spans="1:6" ht="33.6">
      <c r="A156" s="8" t="s">
        <v>178</v>
      </c>
      <c r="B156" s="8" t="s">
        <v>15</v>
      </c>
      <c r="C156" s="56" t="s">
        <v>351</v>
      </c>
      <c r="D156" s="61">
        <f>'№8 ведом.'!F282</f>
        <v>2140.5</v>
      </c>
      <c r="E156" s="61">
        <f>'№8 ведом.'!G282</f>
        <v>2140.5</v>
      </c>
      <c r="F156" s="62"/>
    </row>
    <row r="157" spans="1:6" ht="67.2">
      <c r="A157" s="8" t="s">
        <v>300</v>
      </c>
      <c r="B157" s="8"/>
      <c r="C157" s="56" t="s">
        <v>299</v>
      </c>
      <c r="D157" s="61">
        <f>D158</f>
        <v>4281</v>
      </c>
      <c r="E157" s="61">
        <f>E158</f>
        <v>4280.7</v>
      </c>
      <c r="F157" s="62"/>
    </row>
    <row r="158" spans="1:6" ht="33.6">
      <c r="A158" s="8" t="s">
        <v>300</v>
      </c>
      <c r="B158" s="8" t="s">
        <v>15</v>
      </c>
      <c r="C158" s="56" t="s">
        <v>351</v>
      </c>
      <c r="D158" s="61">
        <f>'№8 ведом.'!F284</f>
        <v>4281</v>
      </c>
      <c r="E158" s="61">
        <f>'№8 ведом.'!G284</f>
        <v>4280.7</v>
      </c>
      <c r="F158" s="62"/>
    </row>
    <row r="159" spans="1:6" s="36" customFormat="1" ht="50.4">
      <c r="A159" s="26" t="s">
        <v>266</v>
      </c>
      <c r="B159" s="26"/>
      <c r="C159" s="27" t="s">
        <v>262</v>
      </c>
      <c r="D159" s="95">
        <f>D160+D167+D170</f>
        <v>18153.2</v>
      </c>
      <c r="E159" s="95">
        <f>E160+E167+E170</f>
        <v>13113.2</v>
      </c>
      <c r="F159" s="106"/>
    </row>
    <row r="160" spans="1:6" s="36" customFormat="1" ht="50.4">
      <c r="A160" s="26" t="s">
        <v>267</v>
      </c>
      <c r="B160" s="26"/>
      <c r="C160" s="27" t="s">
        <v>268</v>
      </c>
      <c r="D160" s="95">
        <f>D163+D165+D161</f>
        <v>2670.8999999999996</v>
      </c>
      <c r="E160" s="95">
        <f>E163+E165+E161</f>
        <v>710.9000000000001</v>
      </c>
      <c r="F160" s="106"/>
    </row>
    <row r="161" spans="1:6" ht="33.6">
      <c r="A161" s="16" t="s">
        <v>426</v>
      </c>
      <c r="B161" s="16"/>
      <c r="C161" s="56" t="s">
        <v>427</v>
      </c>
      <c r="D161" s="61">
        <f>D162</f>
        <v>1960</v>
      </c>
      <c r="E161" s="61">
        <f>E162</f>
        <v>0</v>
      </c>
      <c r="F161" s="62"/>
    </row>
    <row r="162" spans="1:6" ht="12.75">
      <c r="A162" s="16" t="s">
        <v>426</v>
      </c>
      <c r="B162" s="8" t="s">
        <v>385</v>
      </c>
      <c r="C162" s="56" t="s">
        <v>78</v>
      </c>
      <c r="D162" s="61">
        <f>'№8 ведом.'!F118</f>
        <v>1960</v>
      </c>
      <c r="E162" s="61">
        <f>'№8 ведом.'!G118</f>
        <v>0</v>
      </c>
      <c r="F162" s="62"/>
    </row>
    <row r="163" spans="1:6" ht="33.6">
      <c r="A163" s="16" t="s">
        <v>76</v>
      </c>
      <c r="B163" s="8"/>
      <c r="C163" s="56" t="s">
        <v>269</v>
      </c>
      <c r="D163" s="61">
        <f>D164</f>
        <v>115.19999999999982</v>
      </c>
      <c r="E163" s="61">
        <f>E164</f>
        <v>115.2</v>
      </c>
      <c r="F163" s="62"/>
    </row>
    <row r="164" spans="1:6" ht="12.75">
      <c r="A164" s="16" t="s">
        <v>76</v>
      </c>
      <c r="B164" s="8" t="s">
        <v>385</v>
      </c>
      <c r="C164" s="56" t="s">
        <v>78</v>
      </c>
      <c r="D164" s="61">
        <f>'№8 ведом.'!F120</f>
        <v>115.19999999999982</v>
      </c>
      <c r="E164" s="61">
        <f>'№8 ведом.'!G120</f>
        <v>115.2</v>
      </c>
      <c r="F164" s="62"/>
    </row>
    <row r="165" spans="1:6" ht="67.2">
      <c r="A165" s="8" t="s">
        <v>403</v>
      </c>
      <c r="B165" s="25"/>
      <c r="C165" s="9" t="s">
        <v>404</v>
      </c>
      <c r="D165" s="61">
        <f>D166</f>
        <v>595.7</v>
      </c>
      <c r="E165" s="61">
        <f>E166</f>
        <v>595.7</v>
      </c>
      <c r="F165" s="62"/>
    </row>
    <row r="166" spans="1:6" ht="12.75">
      <c r="A166" s="8" t="s">
        <v>403</v>
      </c>
      <c r="B166" s="8" t="s">
        <v>385</v>
      </c>
      <c r="C166" s="56" t="s">
        <v>78</v>
      </c>
      <c r="D166" s="61">
        <f>'№8 ведом.'!F122</f>
        <v>595.7</v>
      </c>
      <c r="E166" s="61">
        <f>'№8 ведом.'!G122</f>
        <v>595.7</v>
      </c>
      <c r="F166" s="62"/>
    </row>
    <row r="167" spans="1:6" s="36" customFormat="1" ht="33.6">
      <c r="A167" s="26" t="s">
        <v>270</v>
      </c>
      <c r="B167" s="26"/>
      <c r="C167" s="27" t="s">
        <v>271</v>
      </c>
      <c r="D167" s="95">
        <f>D168</f>
        <v>1882.3</v>
      </c>
      <c r="E167" s="95">
        <f>E168</f>
        <v>0</v>
      </c>
      <c r="F167" s="106"/>
    </row>
    <row r="168" spans="1:6" ht="50.4">
      <c r="A168" s="8" t="s">
        <v>414</v>
      </c>
      <c r="B168" s="67"/>
      <c r="C168" s="56" t="s">
        <v>416</v>
      </c>
      <c r="D168" s="61">
        <f>D169</f>
        <v>1882.3</v>
      </c>
      <c r="E168" s="61">
        <f>E169</f>
        <v>0</v>
      </c>
      <c r="F168" s="62"/>
    </row>
    <row r="169" spans="1:6" ht="12.75">
      <c r="A169" s="8" t="s">
        <v>414</v>
      </c>
      <c r="B169" s="8" t="s">
        <v>385</v>
      </c>
      <c r="C169" s="56" t="s">
        <v>78</v>
      </c>
      <c r="D169" s="61">
        <f>'№8 ведом.'!F125</f>
        <v>1882.3</v>
      </c>
      <c r="E169" s="61">
        <f>'№8 ведом.'!G125</f>
        <v>0</v>
      </c>
      <c r="F169" s="62"/>
    </row>
    <row r="170" spans="1:6" s="36" customFormat="1" ht="33.6">
      <c r="A170" s="26" t="s">
        <v>272</v>
      </c>
      <c r="B170" s="26"/>
      <c r="C170" s="27" t="s">
        <v>273</v>
      </c>
      <c r="D170" s="95">
        <f>D171+D173+D175+D177</f>
        <v>13600</v>
      </c>
      <c r="E170" s="95">
        <f>E171+E173+E175+E177</f>
        <v>12402.300000000001</v>
      </c>
      <c r="F170" s="106"/>
    </row>
    <row r="171" spans="1:6" ht="12.75">
      <c r="A171" s="25" t="s">
        <v>274</v>
      </c>
      <c r="B171" s="16"/>
      <c r="C171" s="56" t="s">
        <v>275</v>
      </c>
      <c r="D171" s="61">
        <f>D172</f>
        <v>9939.199999999999</v>
      </c>
      <c r="E171" s="61">
        <f>E172</f>
        <v>8741.8</v>
      </c>
      <c r="F171" s="62"/>
    </row>
    <row r="172" spans="1:6" ht="12.75">
      <c r="A172" s="25" t="s">
        <v>274</v>
      </c>
      <c r="B172" s="16" t="s">
        <v>385</v>
      </c>
      <c r="C172" s="56" t="s">
        <v>78</v>
      </c>
      <c r="D172" s="61">
        <f>'№8 ведом.'!F129</f>
        <v>9939.199999999999</v>
      </c>
      <c r="E172" s="61">
        <f>'№8 ведом.'!G129</f>
        <v>8741.8</v>
      </c>
      <c r="F172" s="62"/>
    </row>
    <row r="173" spans="1:6" ht="12.75">
      <c r="A173" s="25" t="s">
        <v>276</v>
      </c>
      <c r="B173" s="16"/>
      <c r="C173" s="56" t="s">
        <v>277</v>
      </c>
      <c r="D173" s="61">
        <f>D174</f>
        <v>3194.4</v>
      </c>
      <c r="E173" s="61">
        <f>E174</f>
        <v>3194.1</v>
      </c>
      <c r="F173" s="62"/>
    </row>
    <row r="174" spans="1:6" ht="12.75">
      <c r="A174" s="25" t="s">
        <v>276</v>
      </c>
      <c r="B174" s="16" t="s">
        <v>385</v>
      </c>
      <c r="C174" s="56" t="s">
        <v>78</v>
      </c>
      <c r="D174" s="61">
        <f>'№8 ведом.'!F131</f>
        <v>3194.4</v>
      </c>
      <c r="E174" s="61">
        <f>'№8 ведом.'!G131</f>
        <v>3194.1</v>
      </c>
      <c r="F174" s="62"/>
    </row>
    <row r="175" spans="1:6" ht="12.75">
      <c r="A175" s="25" t="s">
        <v>278</v>
      </c>
      <c r="B175" s="16"/>
      <c r="C175" s="56" t="s">
        <v>279</v>
      </c>
      <c r="D175" s="61">
        <f>D176</f>
        <v>247.7</v>
      </c>
      <c r="E175" s="61">
        <f>E176</f>
        <v>247.7</v>
      </c>
      <c r="F175" s="62"/>
    </row>
    <row r="176" spans="1:6" ht="12.75">
      <c r="A176" s="25" t="s">
        <v>278</v>
      </c>
      <c r="B176" s="16" t="s">
        <v>385</v>
      </c>
      <c r="C176" s="56" t="s">
        <v>78</v>
      </c>
      <c r="D176" s="61">
        <f>'№8 ведом.'!F134</f>
        <v>247.7</v>
      </c>
      <c r="E176" s="61">
        <f>'№8 ведом.'!G134</f>
        <v>247.7</v>
      </c>
      <c r="F176" s="62"/>
    </row>
    <row r="177" spans="1:6" ht="33.6">
      <c r="A177" s="25" t="s">
        <v>280</v>
      </c>
      <c r="B177" s="16"/>
      <c r="C177" s="56" t="s">
        <v>281</v>
      </c>
      <c r="D177" s="61">
        <f>D178</f>
        <v>218.7</v>
      </c>
      <c r="E177" s="61">
        <f>E178</f>
        <v>218.7</v>
      </c>
      <c r="F177" s="62"/>
    </row>
    <row r="178" spans="1:6" ht="12.75">
      <c r="A178" s="25" t="s">
        <v>280</v>
      </c>
      <c r="B178" s="16" t="s">
        <v>385</v>
      </c>
      <c r="C178" s="56" t="s">
        <v>78</v>
      </c>
      <c r="D178" s="61">
        <f>'№8 ведом.'!F135</f>
        <v>218.7</v>
      </c>
      <c r="E178" s="61">
        <f>'№8 ведом.'!G135</f>
        <v>218.7</v>
      </c>
      <c r="F178" s="62"/>
    </row>
    <row r="179" spans="1:5" s="36" customFormat="1" ht="50.4">
      <c r="A179" s="26" t="s">
        <v>236</v>
      </c>
      <c r="B179" s="26"/>
      <c r="C179" s="27" t="s">
        <v>237</v>
      </c>
      <c r="D179" s="52">
        <f>D180+D193</f>
        <v>42861.399999999994</v>
      </c>
      <c r="E179" s="52">
        <f>E180+E193</f>
        <v>41803.3</v>
      </c>
    </row>
    <row r="180" spans="1:5" s="36" customFormat="1" ht="50.4">
      <c r="A180" s="26" t="s">
        <v>238</v>
      </c>
      <c r="B180" s="275"/>
      <c r="C180" s="37" t="s">
        <v>239</v>
      </c>
      <c r="D180" s="52">
        <f>D181+D185+D187+D183+D191+D189</f>
        <v>42442.7</v>
      </c>
      <c r="E180" s="52">
        <f>E181+E185+E187+E183+E191+E189</f>
        <v>41384.600000000006</v>
      </c>
    </row>
    <row r="181" spans="1:5" ht="50.4">
      <c r="A181" s="25" t="s">
        <v>240</v>
      </c>
      <c r="B181" s="16"/>
      <c r="C181" s="30" t="s">
        <v>241</v>
      </c>
      <c r="D181" s="126">
        <f aca="true" t="shared" si="2" ref="D181:E181">D182</f>
        <v>16184.199999999999</v>
      </c>
      <c r="E181" s="126">
        <f t="shared" si="2"/>
        <v>15126.1</v>
      </c>
    </row>
    <row r="182" spans="1:5" ht="12.75">
      <c r="A182" s="25" t="s">
        <v>240</v>
      </c>
      <c r="B182" s="16" t="s">
        <v>385</v>
      </c>
      <c r="C182" s="30" t="s">
        <v>78</v>
      </c>
      <c r="D182" s="126">
        <f>'№8 ведом.'!F77</f>
        <v>16184.199999999999</v>
      </c>
      <c r="E182" s="126">
        <f>'№8 ведом.'!G77</f>
        <v>15126.1</v>
      </c>
    </row>
    <row r="183" spans="1:5" s="62" customFormat="1" ht="50.4">
      <c r="A183" s="11" t="s">
        <v>395</v>
      </c>
      <c r="B183" s="67"/>
      <c r="C183" s="9" t="s">
        <v>396</v>
      </c>
      <c r="D183" s="61">
        <f>D184</f>
        <v>203.5</v>
      </c>
      <c r="E183" s="61">
        <f>E184</f>
        <v>203.5</v>
      </c>
    </row>
    <row r="184" spans="1:5" s="62" customFormat="1" ht="12.75">
      <c r="A184" s="11" t="s">
        <v>395</v>
      </c>
      <c r="B184" s="8" t="s">
        <v>385</v>
      </c>
      <c r="C184" s="56" t="s">
        <v>78</v>
      </c>
      <c r="D184" s="61">
        <f>'№8 ведом.'!F79</f>
        <v>203.5</v>
      </c>
      <c r="E184" s="61">
        <f>'№8 ведом.'!G79</f>
        <v>203.5</v>
      </c>
    </row>
    <row r="185" spans="1:5" ht="50.4">
      <c r="A185" s="127" t="s">
        <v>75</v>
      </c>
      <c r="B185" s="67"/>
      <c r="C185" s="9" t="s">
        <v>323</v>
      </c>
      <c r="D185" s="126">
        <f>D186</f>
        <v>2370.0999999999995</v>
      </c>
      <c r="E185" s="126">
        <f>E186</f>
        <v>2370.1</v>
      </c>
    </row>
    <row r="186" spans="1:5" ht="12.75">
      <c r="A186" s="127" t="s">
        <v>75</v>
      </c>
      <c r="B186" s="16" t="s">
        <v>385</v>
      </c>
      <c r="C186" s="30" t="s">
        <v>78</v>
      </c>
      <c r="D186" s="126">
        <f>'№8 ведом.'!F82</f>
        <v>2370.0999999999995</v>
      </c>
      <c r="E186" s="126">
        <f>'№8 ведом.'!G82</f>
        <v>2370.1</v>
      </c>
    </row>
    <row r="187" spans="1:5" ht="33.6">
      <c r="A187" s="127" t="s">
        <v>328</v>
      </c>
      <c r="B187" s="67"/>
      <c r="C187" s="9" t="s">
        <v>329</v>
      </c>
      <c r="D187" s="126">
        <f>D188</f>
        <v>3205.7</v>
      </c>
      <c r="E187" s="126">
        <f>E188</f>
        <v>3205.7</v>
      </c>
    </row>
    <row r="188" spans="1:5" ht="12.75">
      <c r="A188" s="127" t="s">
        <v>328</v>
      </c>
      <c r="B188" s="16" t="s">
        <v>385</v>
      </c>
      <c r="C188" s="30" t="s">
        <v>78</v>
      </c>
      <c r="D188" s="126">
        <f>'№8 ведом.'!F84</f>
        <v>3205.7</v>
      </c>
      <c r="E188" s="126">
        <f>'№8 ведом.'!G84</f>
        <v>3205.7</v>
      </c>
    </row>
    <row r="189" spans="1:5" ht="50.4">
      <c r="A189" s="11" t="s">
        <v>413</v>
      </c>
      <c r="B189" s="67"/>
      <c r="C189" s="9" t="s">
        <v>415</v>
      </c>
      <c r="D189" s="126">
        <f>D190</f>
        <v>11774.2</v>
      </c>
      <c r="E189" s="126">
        <f>E190</f>
        <v>11774.2</v>
      </c>
    </row>
    <row r="190" spans="1:5" ht="12.75">
      <c r="A190" s="11" t="s">
        <v>413</v>
      </c>
      <c r="B190" s="8" t="s">
        <v>385</v>
      </c>
      <c r="C190" s="30" t="s">
        <v>78</v>
      </c>
      <c r="D190" s="126">
        <f>'№8 ведом.'!F86</f>
        <v>11774.2</v>
      </c>
      <c r="E190" s="126">
        <f>'№8 ведом.'!G86</f>
        <v>11774.2</v>
      </c>
    </row>
    <row r="191" spans="1:5" ht="67.2">
      <c r="A191" s="11" t="s">
        <v>401</v>
      </c>
      <c r="B191" s="8"/>
      <c r="C191" s="56" t="s">
        <v>405</v>
      </c>
      <c r="D191" s="126">
        <f>D192</f>
        <v>8705</v>
      </c>
      <c r="E191" s="126">
        <f>E192</f>
        <v>8705</v>
      </c>
    </row>
    <row r="192" spans="1:5" ht="12.75">
      <c r="A192" s="11" t="s">
        <v>401</v>
      </c>
      <c r="B192" s="8" t="s">
        <v>385</v>
      </c>
      <c r="C192" s="56" t="s">
        <v>78</v>
      </c>
      <c r="D192" s="126">
        <f>'№8 ведом.'!F88</f>
        <v>8705</v>
      </c>
      <c r="E192" s="126">
        <f>'№8 ведом.'!G88</f>
        <v>8705</v>
      </c>
    </row>
    <row r="193" spans="1:5" s="36" customFormat="1" ht="50.4">
      <c r="A193" s="26" t="s">
        <v>445</v>
      </c>
      <c r="B193" s="275"/>
      <c r="C193" s="37" t="s">
        <v>446</v>
      </c>
      <c r="D193" s="52">
        <f>D194</f>
        <v>418.70000000000005</v>
      </c>
      <c r="E193" s="52">
        <f>E194</f>
        <v>418.7</v>
      </c>
    </row>
    <row r="194" spans="1:5" ht="33.6">
      <c r="A194" s="11" t="s">
        <v>447</v>
      </c>
      <c r="B194" s="67"/>
      <c r="C194" s="9" t="s">
        <v>419</v>
      </c>
      <c r="D194" s="126">
        <f>D195</f>
        <v>418.70000000000005</v>
      </c>
      <c r="E194" s="126">
        <f>E195</f>
        <v>418.7</v>
      </c>
    </row>
    <row r="195" spans="1:5" ht="12.75">
      <c r="A195" s="11" t="s">
        <v>447</v>
      </c>
      <c r="B195" s="8" t="s">
        <v>385</v>
      </c>
      <c r="C195" s="56" t="s">
        <v>78</v>
      </c>
      <c r="D195" s="126">
        <f>'№8 ведом.'!F91</f>
        <v>418.70000000000005</v>
      </c>
      <c r="E195" s="126">
        <f>'№8 ведом.'!G91</f>
        <v>418.7</v>
      </c>
    </row>
    <row r="196" spans="1:5" s="36" customFormat="1" ht="50.4">
      <c r="A196" s="26" t="s">
        <v>242</v>
      </c>
      <c r="B196" s="26"/>
      <c r="C196" s="27" t="s">
        <v>243</v>
      </c>
      <c r="D196" s="52">
        <f>D197+D204</f>
        <v>297.6</v>
      </c>
      <c r="E196" s="52">
        <f>E197+E204</f>
        <v>296.4</v>
      </c>
    </row>
    <row r="197" spans="1:5" s="36" customFormat="1" ht="33.6">
      <c r="A197" s="26" t="s">
        <v>245</v>
      </c>
      <c r="B197" s="26"/>
      <c r="C197" s="27" t="s">
        <v>244</v>
      </c>
      <c r="D197" s="52">
        <f>D198+D200+D202</f>
        <v>190</v>
      </c>
      <c r="E197" s="52">
        <f>E198+E200+E202</f>
        <v>188.8</v>
      </c>
    </row>
    <row r="198" spans="1:5" ht="33.6">
      <c r="A198" s="25" t="s">
        <v>247</v>
      </c>
      <c r="B198" s="16"/>
      <c r="C198" s="30" t="s">
        <v>246</v>
      </c>
      <c r="D198" s="126">
        <f>D199</f>
        <v>120</v>
      </c>
      <c r="E198" s="126">
        <f>E199</f>
        <v>118.8</v>
      </c>
    </row>
    <row r="199" spans="1:5" ht="12.75">
      <c r="A199" s="25" t="s">
        <v>247</v>
      </c>
      <c r="B199" s="16" t="s">
        <v>385</v>
      </c>
      <c r="C199" s="30" t="s">
        <v>78</v>
      </c>
      <c r="D199" s="126">
        <f>'№8 ведом.'!F96</f>
        <v>120</v>
      </c>
      <c r="E199" s="126">
        <f>'№8 ведом.'!G96</f>
        <v>118.8</v>
      </c>
    </row>
    <row r="200" spans="1:5" ht="33.6">
      <c r="A200" s="25" t="s">
        <v>249</v>
      </c>
      <c r="B200" s="16"/>
      <c r="C200" s="30" t="s">
        <v>248</v>
      </c>
      <c r="D200" s="126">
        <f>D201</f>
        <v>30</v>
      </c>
      <c r="E200" s="126">
        <f>E201</f>
        <v>30</v>
      </c>
    </row>
    <row r="201" spans="1:5" ht="12.75">
      <c r="A201" s="25" t="s">
        <v>249</v>
      </c>
      <c r="B201" s="16" t="s">
        <v>385</v>
      </c>
      <c r="C201" s="30" t="s">
        <v>78</v>
      </c>
      <c r="D201" s="126">
        <f>'№8 ведом.'!F97</f>
        <v>30</v>
      </c>
      <c r="E201" s="126">
        <f>'№8 ведом.'!G97</f>
        <v>30</v>
      </c>
    </row>
    <row r="202" spans="1:5" ht="100.8">
      <c r="A202" s="25" t="s">
        <v>257</v>
      </c>
      <c r="B202" s="16"/>
      <c r="C202" s="30" t="s">
        <v>256</v>
      </c>
      <c r="D202" s="126">
        <f>D203</f>
        <v>40</v>
      </c>
      <c r="E202" s="126">
        <f>E203</f>
        <v>40</v>
      </c>
    </row>
    <row r="203" spans="1:5" ht="33.6">
      <c r="A203" s="25" t="s">
        <v>257</v>
      </c>
      <c r="B203" s="16" t="s">
        <v>362</v>
      </c>
      <c r="C203" s="30" t="s">
        <v>367</v>
      </c>
      <c r="D203" s="126">
        <f>'№8 ведом.'!F302</f>
        <v>40</v>
      </c>
      <c r="E203" s="126">
        <f>'№8 ведом.'!G302</f>
        <v>40</v>
      </c>
    </row>
    <row r="204" spans="1:5" s="36" customFormat="1" ht="33.6">
      <c r="A204" s="26" t="s">
        <v>250</v>
      </c>
      <c r="B204" s="26"/>
      <c r="C204" s="27" t="s">
        <v>251</v>
      </c>
      <c r="D204" s="52">
        <f>D205+D207</f>
        <v>107.60000000000001</v>
      </c>
      <c r="E204" s="52">
        <f>E205+E207</f>
        <v>107.6</v>
      </c>
    </row>
    <row r="205" spans="1:5" ht="33.6">
      <c r="A205" s="25" t="s">
        <v>252</v>
      </c>
      <c r="B205" s="16"/>
      <c r="C205" s="30" t="s">
        <v>253</v>
      </c>
      <c r="D205" s="126">
        <f>D206</f>
        <v>5</v>
      </c>
      <c r="E205" s="126">
        <f>E206</f>
        <v>5</v>
      </c>
    </row>
    <row r="206" spans="1:5" ht="12.75">
      <c r="A206" s="25" t="s">
        <v>252</v>
      </c>
      <c r="B206" s="16" t="s">
        <v>385</v>
      </c>
      <c r="C206" s="30" t="s">
        <v>78</v>
      </c>
      <c r="D206" s="126">
        <f>'№8 ведом.'!F101</f>
        <v>5</v>
      </c>
      <c r="E206" s="126">
        <f>'№8 ведом.'!G101</f>
        <v>5</v>
      </c>
    </row>
    <row r="207" spans="1:5" ht="33.6">
      <c r="A207" s="25" t="s">
        <v>255</v>
      </c>
      <c r="B207" s="16"/>
      <c r="C207" s="30" t="s">
        <v>254</v>
      </c>
      <c r="D207" s="126">
        <f>D208</f>
        <v>102.60000000000001</v>
      </c>
      <c r="E207" s="126">
        <f>E208</f>
        <v>102.6</v>
      </c>
    </row>
    <row r="208" spans="1:5" ht="12.75">
      <c r="A208" s="25" t="s">
        <v>255</v>
      </c>
      <c r="B208" s="16" t="s">
        <v>385</v>
      </c>
      <c r="C208" s="30" t="s">
        <v>78</v>
      </c>
      <c r="D208" s="126">
        <f>'№8 ведом.'!F102</f>
        <v>102.60000000000001</v>
      </c>
      <c r="E208" s="126">
        <f>'№8 ведом.'!G102</f>
        <v>102.6</v>
      </c>
    </row>
    <row r="209" spans="1:5" s="36" customFormat="1" ht="50.4">
      <c r="A209" s="26" t="s">
        <v>342</v>
      </c>
      <c r="B209" s="26"/>
      <c r="C209" s="27" t="s">
        <v>322</v>
      </c>
      <c r="D209" s="52">
        <f>D210+D215+D220+D223+D226+D243+D256</f>
        <v>52078.200000000004</v>
      </c>
      <c r="E209" s="52">
        <f>E210+E215+E220+E223+E226+E243+E256</f>
        <v>51542.7</v>
      </c>
    </row>
    <row r="210" spans="1:5" s="36" customFormat="1" ht="50.4">
      <c r="A210" s="26" t="s">
        <v>357</v>
      </c>
      <c r="B210" s="26"/>
      <c r="C210" s="27" t="s">
        <v>356</v>
      </c>
      <c r="D210" s="52">
        <f>D211+D213</f>
        <v>379.30000000000007</v>
      </c>
      <c r="E210" s="52">
        <f>E211+E213</f>
        <v>309.79999999999995</v>
      </c>
    </row>
    <row r="211" spans="1:5" ht="33.6">
      <c r="A211" s="25" t="s">
        <v>220</v>
      </c>
      <c r="B211" s="16"/>
      <c r="C211" s="30" t="s">
        <v>221</v>
      </c>
      <c r="D211" s="126">
        <f>D212</f>
        <v>85.40000000000003</v>
      </c>
      <c r="E211" s="126">
        <f>E212</f>
        <v>15.9</v>
      </c>
    </row>
    <row r="212" spans="1:5" ht="12.75">
      <c r="A212" s="25" t="s">
        <v>220</v>
      </c>
      <c r="B212" s="16" t="s">
        <v>385</v>
      </c>
      <c r="C212" s="30" t="s">
        <v>78</v>
      </c>
      <c r="D212" s="126">
        <f>'№8 ведом.'!F33</f>
        <v>85.40000000000003</v>
      </c>
      <c r="E212" s="126">
        <f>'№8 ведом.'!G33</f>
        <v>15.9</v>
      </c>
    </row>
    <row r="213" spans="1:5" ht="50.4">
      <c r="A213" s="25" t="s">
        <v>398</v>
      </c>
      <c r="B213" s="16"/>
      <c r="C213" s="9" t="s">
        <v>397</v>
      </c>
      <c r="D213" s="126">
        <f>D214</f>
        <v>293.90000000000003</v>
      </c>
      <c r="E213" s="126">
        <f>E214</f>
        <v>293.9</v>
      </c>
    </row>
    <row r="214" spans="1:5" ht="12.75">
      <c r="A214" s="25" t="s">
        <v>398</v>
      </c>
      <c r="B214" s="16" t="s">
        <v>385</v>
      </c>
      <c r="C214" s="30" t="s">
        <v>78</v>
      </c>
      <c r="D214" s="126">
        <f>'№8 ведом.'!F35</f>
        <v>293.90000000000003</v>
      </c>
      <c r="E214" s="126">
        <f>'№8 ведом.'!G35</f>
        <v>293.9</v>
      </c>
    </row>
    <row r="215" spans="1:5" s="36" customFormat="1" ht="84">
      <c r="A215" s="26" t="s">
        <v>222</v>
      </c>
      <c r="B215" s="26"/>
      <c r="C215" s="27" t="s">
        <v>223</v>
      </c>
      <c r="D215" s="52">
        <f>D216+D218</f>
        <v>75</v>
      </c>
      <c r="E215" s="52">
        <f>E216+E218</f>
        <v>75</v>
      </c>
    </row>
    <row r="216" spans="1:5" ht="50.4">
      <c r="A216" s="25" t="s">
        <v>225</v>
      </c>
      <c r="B216" s="16"/>
      <c r="C216" s="30" t="s">
        <v>224</v>
      </c>
      <c r="D216" s="126">
        <f>D217</f>
        <v>50</v>
      </c>
      <c r="E216" s="126">
        <f>E217</f>
        <v>50</v>
      </c>
    </row>
    <row r="217" spans="1:5" ht="12.75">
      <c r="A217" s="25" t="s">
        <v>225</v>
      </c>
      <c r="B217" s="16" t="s">
        <v>385</v>
      </c>
      <c r="C217" s="30" t="s">
        <v>78</v>
      </c>
      <c r="D217" s="126">
        <f>'№8 ведом.'!F37</f>
        <v>50</v>
      </c>
      <c r="E217" s="126">
        <f>'№8 ведом.'!G37</f>
        <v>50</v>
      </c>
    </row>
    <row r="218" spans="1:5" ht="50.4">
      <c r="A218" s="25" t="s">
        <v>227</v>
      </c>
      <c r="B218" s="16"/>
      <c r="C218" s="30" t="s">
        <v>226</v>
      </c>
      <c r="D218" s="126">
        <f>D219</f>
        <v>25</v>
      </c>
      <c r="E218" s="126">
        <f>E219</f>
        <v>25</v>
      </c>
    </row>
    <row r="219" spans="1:5" ht="12.75">
      <c r="A219" s="25" t="s">
        <v>227</v>
      </c>
      <c r="B219" s="16" t="s">
        <v>385</v>
      </c>
      <c r="C219" s="30" t="s">
        <v>78</v>
      </c>
      <c r="D219" s="126">
        <f>'№8 ведом.'!F39</f>
        <v>25</v>
      </c>
      <c r="E219" s="126">
        <f>'№8 ведом.'!G39</f>
        <v>25</v>
      </c>
    </row>
    <row r="220" spans="1:5" s="36" customFormat="1" ht="33.6">
      <c r="A220" s="26" t="s">
        <v>228</v>
      </c>
      <c r="B220" s="26"/>
      <c r="C220" s="27" t="s">
        <v>229</v>
      </c>
      <c r="D220" s="52">
        <f aca="true" t="shared" si="3" ref="D220:E221">D221</f>
        <v>47.30000000000001</v>
      </c>
      <c r="E220" s="52">
        <f t="shared" si="3"/>
        <v>47.3</v>
      </c>
    </row>
    <row r="221" spans="1:5" ht="33.6">
      <c r="A221" s="25" t="s">
        <v>230</v>
      </c>
      <c r="B221" s="16"/>
      <c r="C221" s="30" t="s">
        <v>231</v>
      </c>
      <c r="D221" s="126">
        <f t="shared" si="3"/>
        <v>47.30000000000001</v>
      </c>
      <c r="E221" s="126">
        <f t="shared" si="3"/>
        <v>47.3</v>
      </c>
    </row>
    <row r="222" spans="1:5" ht="12.75">
      <c r="A222" s="25" t="s">
        <v>230</v>
      </c>
      <c r="B222" s="16" t="s">
        <v>385</v>
      </c>
      <c r="C222" s="30" t="s">
        <v>78</v>
      </c>
      <c r="D222" s="126">
        <f>'№8 ведом.'!F42</f>
        <v>47.30000000000001</v>
      </c>
      <c r="E222" s="126">
        <f>'№8 ведом.'!G42</f>
        <v>47.3</v>
      </c>
    </row>
    <row r="223" spans="1:5" s="36" customFormat="1" ht="33.6">
      <c r="A223" s="26" t="s">
        <v>232</v>
      </c>
      <c r="B223" s="26"/>
      <c r="C223" s="27" t="s">
        <v>233</v>
      </c>
      <c r="D223" s="52">
        <f aca="true" t="shared" si="4" ref="D223:E224">D224</f>
        <v>6647.1</v>
      </c>
      <c r="E223" s="52">
        <f t="shared" si="4"/>
        <v>6647.1</v>
      </c>
    </row>
    <row r="224" spans="1:5" ht="33.6">
      <c r="A224" s="25" t="s">
        <v>235</v>
      </c>
      <c r="B224" s="16"/>
      <c r="C224" s="30" t="s">
        <v>234</v>
      </c>
      <c r="D224" s="126">
        <f t="shared" si="4"/>
        <v>6647.1</v>
      </c>
      <c r="E224" s="126">
        <f t="shared" si="4"/>
        <v>6647.1</v>
      </c>
    </row>
    <row r="225" spans="1:5" ht="12.75">
      <c r="A225" s="25" t="s">
        <v>235</v>
      </c>
      <c r="B225" s="16" t="s">
        <v>385</v>
      </c>
      <c r="C225" s="30" t="s">
        <v>78</v>
      </c>
      <c r="D225" s="126">
        <f>'№8 ведом.'!F71</f>
        <v>6647.1</v>
      </c>
      <c r="E225" s="126">
        <f>'№8 ведом.'!G71</f>
        <v>6647.1</v>
      </c>
    </row>
    <row r="226" spans="1:5" s="36" customFormat="1" ht="50.4">
      <c r="A226" s="26" t="s">
        <v>214</v>
      </c>
      <c r="B226" s="26"/>
      <c r="C226" s="27" t="s">
        <v>215</v>
      </c>
      <c r="D226" s="52">
        <f>D227+D229+D231+D233+D235+D239+D237+D241</f>
        <v>2983.1</v>
      </c>
      <c r="E226" s="52">
        <f>E227+E229+E231+E233+E235+E239+E237+E241</f>
        <v>2983.1</v>
      </c>
    </row>
    <row r="227" spans="1:5" ht="33.6">
      <c r="A227" s="25" t="s">
        <v>219</v>
      </c>
      <c r="B227" s="16"/>
      <c r="C227" s="30" t="s">
        <v>218</v>
      </c>
      <c r="D227" s="126">
        <f>D228</f>
        <v>51.5</v>
      </c>
      <c r="E227" s="126">
        <f>E228</f>
        <v>51.5</v>
      </c>
    </row>
    <row r="228" spans="1:5" ht="12.75">
      <c r="A228" s="25" t="s">
        <v>219</v>
      </c>
      <c r="B228" s="16" t="s">
        <v>385</v>
      </c>
      <c r="C228" s="30" t="s">
        <v>78</v>
      </c>
      <c r="D228" s="126">
        <f>'№8 ведом.'!F45</f>
        <v>51.5</v>
      </c>
      <c r="E228" s="126">
        <f>'№8 ведом.'!G45</f>
        <v>51.5</v>
      </c>
    </row>
    <row r="229" spans="1:5" ht="33.6">
      <c r="A229" s="25" t="s">
        <v>216</v>
      </c>
      <c r="B229" s="16"/>
      <c r="C229" s="30" t="s">
        <v>217</v>
      </c>
      <c r="D229" s="126">
        <f>D230</f>
        <v>300</v>
      </c>
      <c r="E229" s="126">
        <f>E230</f>
        <v>300</v>
      </c>
    </row>
    <row r="230" spans="1:5" ht="12.75">
      <c r="A230" s="25" t="s">
        <v>216</v>
      </c>
      <c r="B230" s="16" t="s">
        <v>385</v>
      </c>
      <c r="C230" s="30" t="s">
        <v>78</v>
      </c>
      <c r="D230" s="126">
        <f>'№8 ведом.'!F194</f>
        <v>300</v>
      </c>
      <c r="E230" s="126">
        <f>'№8 ведом.'!G194</f>
        <v>300</v>
      </c>
    </row>
    <row r="231" spans="1:5" ht="84">
      <c r="A231" s="127" t="s">
        <v>332</v>
      </c>
      <c r="B231" s="196"/>
      <c r="C231" s="9" t="s">
        <v>337</v>
      </c>
      <c r="D231" s="126">
        <f>D232</f>
        <v>770</v>
      </c>
      <c r="E231" s="126">
        <f>E232</f>
        <v>770</v>
      </c>
    </row>
    <row r="232" spans="1:5" ht="12.75">
      <c r="A232" s="25" t="s">
        <v>332</v>
      </c>
      <c r="B232" s="16" t="s">
        <v>385</v>
      </c>
      <c r="C232" s="30" t="s">
        <v>78</v>
      </c>
      <c r="D232" s="126">
        <f>'№8 ведом.'!F212</f>
        <v>770</v>
      </c>
      <c r="E232" s="126">
        <f>'№8 ведом.'!G212</f>
        <v>770</v>
      </c>
    </row>
    <row r="233" spans="1:5" ht="84">
      <c r="A233" s="127" t="s">
        <v>333</v>
      </c>
      <c r="B233" s="196"/>
      <c r="C233" s="9" t="s">
        <v>336</v>
      </c>
      <c r="D233" s="126">
        <f>D234</f>
        <v>400</v>
      </c>
      <c r="E233" s="126">
        <f>E234</f>
        <v>400</v>
      </c>
    </row>
    <row r="234" spans="1:5" ht="12.75">
      <c r="A234" s="25" t="s">
        <v>333</v>
      </c>
      <c r="B234" s="16" t="s">
        <v>385</v>
      </c>
      <c r="C234" s="30" t="s">
        <v>78</v>
      </c>
      <c r="D234" s="126">
        <f>'№8 ведом.'!F217</f>
        <v>400</v>
      </c>
      <c r="E234" s="126">
        <f>'№8 ведом.'!G217</f>
        <v>400</v>
      </c>
    </row>
    <row r="235" spans="1:5" ht="67.2">
      <c r="A235" s="127" t="s">
        <v>334</v>
      </c>
      <c r="B235" s="196"/>
      <c r="C235" s="9" t="s">
        <v>335</v>
      </c>
      <c r="D235" s="126">
        <f>D236</f>
        <v>520</v>
      </c>
      <c r="E235" s="126">
        <f>E236</f>
        <v>520</v>
      </c>
    </row>
    <row r="236" spans="1:5" ht="12.75">
      <c r="A236" s="25" t="s">
        <v>334</v>
      </c>
      <c r="B236" s="16" t="s">
        <v>385</v>
      </c>
      <c r="C236" s="30" t="s">
        <v>78</v>
      </c>
      <c r="D236" s="126">
        <f>'№8 ведом.'!F219</f>
        <v>520</v>
      </c>
      <c r="E236" s="126">
        <f>'№8 ведом.'!G219</f>
        <v>520</v>
      </c>
    </row>
    <row r="237" spans="1:5" ht="50.4">
      <c r="A237" s="127" t="s">
        <v>442</v>
      </c>
      <c r="B237" s="196"/>
      <c r="C237" s="9" t="s">
        <v>443</v>
      </c>
      <c r="D237" s="126">
        <f>D238</f>
        <v>170</v>
      </c>
      <c r="E237" s="126">
        <f>E238</f>
        <v>170</v>
      </c>
    </row>
    <row r="238" spans="1:5" ht="12.75">
      <c r="A238" s="25" t="s">
        <v>442</v>
      </c>
      <c r="B238" s="16" t="s">
        <v>385</v>
      </c>
      <c r="C238" s="30" t="s">
        <v>78</v>
      </c>
      <c r="D238" s="126">
        <f>'№8 ведом.'!F221</f>
        <v>170</v>
      </c>
      <c r="E238" s="126">
        <f>'№8 ведом.'!G221</f>
        <v>170</v>
      </c>
    </row>
    <row r="239" spans="1:5" ht="84">
      <c r="A239" s="127" t="s">
        <v>417</v>
      </c>
      <c r="B239" s="196"/>
      <c r="C239" s="9" t="s">
        <v>418</v>
      </c>
      <c r="D239" s="126">
        <f>D240</f>
        <v>521.6</v>
      </c>
      <c r="E239" s="126">
        <f>E240</f>
        <v>521.6</v>
      </c>
    </row>
    <row r="240" spans="1:5" ht="12.75">
      <c r="A240" s="127" t="s">
        <v>417</v>
      </c>
      <c r="B240" s="16" t="s">
        <v>385</v>
      </c>
      <c r="C240" s="30" t="s">
        <v>78</v>
      </c>
      <c r="D240" s="126">
        <f>'№8 ведом.'!F223</f>
        <v>521.6</v>
      </c>
      <c r="E240" s="126">
        <f>'№8 ведом.'!G223</f>
        <v>521.6</v>
      </c>
    </row>
    <row r="241" spans="1:5" ht="67.2">
      <c r="A241" s="11" t="s">
        <v>504</v>
      </c>
      <c r="B241" s="197"/>
      <c r="C241" s="9" t="s">
        <v>505</v>
      </c>
      <c r="D241" s="126">
        <f>D242</f>
        <v>250</v>
      </c>
      <c r="E241" s="126">
        <f>E242</f>
        <v>250</v>
      </c>
    </row>
    <row r="242" spans="1:5" ht="12.75">
      <c r="A242" s="11" t="s">
        <v>504</v>
      </c>
      <c r="B242" s="16" t="s">
        <v>385</v>
      </c>
      <c r="C242" s="30" t="s">
        <v>78</v>
      </c>
      <c r="D242" s="126">
        <f>'№8 ведом.'!F225</f>
        <v>250</v>
      </c>
      <c r="E242" s="126">
        <f>'№8 ведом.'!G225</f>
        <v>250</v>
      </c>
    </row>
    <row r="243" spans="1:5" s="36" customFormat="1" ht="33.6">
      <c r="A243" s="26" t="s">
        <v>201</v>
      </c>
      <c r="B243" s="26"/>
      <c r="C243" s="27" t="s">
        <v>202</v>
      </c>
      <c r="D243" s="52">
        <f>D244+D246+D248+D250+D252+D254</f>
        <v>2447.2</v>
      </c>
      <c r="E243" s="52">
        <f>E244+E246+E248+E250+E252+E254</f>
        <v>2446.7</v>
      </c>
    </row>
    <row r="244" spans="1:5" ht="33.6">
      <c r="A244" s="25" t="s">
        <v>205</v>
      </c>
      <c r="B244" s="16"/>
      <c r="C244" s="30" t="s">
        <v>204</v>
      </c>
      <c r="D244" s="126">
        <f>D245</f>
        <v>150</v>
      </c>
      <c r="E244" s="126">
        <f>E245</f>
        <v>150</v>
      </c>
    </row>
    <row r="245" spans="1:5" ht="12.75">
      <c r="A245" s="25" t="s">
        <v>205</v>
      </c>
      <c r="B245" s="16" t="s">
        <v>385</v>
      </c>
      <c r="C245" s="30" t="s">
        <v>78</v>
      </c>
      <c r="D245" s="126">
        <f>'№8 ведом.'!F197</f>
        <v>150</v>
      </c>
      <c r="E245" s="126">
        <f>'№8 ведом.'!G197</f>
        <v>150</v>
      </c>
    </row>
    <row r="246" spans="1:5" ht="33.6">
      <c r="A246" s="25" t="s">
        <v>207</v>
      </c>
      <c r="B246" s="16"/>
      <c r="C246" s="30" t="s">
        <v>206</v>
      </c>
      <c r="D246" s="126">
        <f>D247</f>
        <v>140.8</v>
      </c>
      <c r="E246" s="126">
        <f>E247</f>
        <v>140.8</v>
      </c>
    </row>
    <row r="247" spans="1:5" ht="12.75">
      <c r="A247" s="25" t="s">
        <v>207</v>
      </c>
      <c r="B247" s="16" t="s">
        <v>385</v>
      </c>
      <c r="C247" s="30" t="s">
        <v>78</v>
      </c>
      <c r="D247" s="126">
        <f>'№8 ведом.'!F199</f>
        <v>140.8</v>
      </c>
      <c r="E247" s="126">
        <f>'№8 ведом.'!G199</f>
        <v>140.8</v>
      </c>
    </row>
    <row r="248" spans="1:5" ht="50.4">
      <c r="A248" s="25" t="s">
        <v>210</v>
      </c>
      <c r="B248" s="16"/>
      <c r="C248" s="30" t="s">
        <v>208</v>
      </c>
      <c r="D248" s="126">
        <f>D249</f>
        <v>169</v>
      </c>
      <c r="E248" s="126">
        <f>E249</f>
        <v>168.5</v>
      </c>
    </row>
    <row r="249" spans="1:5" ht="12.75">
      <c r="A249" s="25" t="s">
        <v>210</v>
      </c>
      <c r="B249" s="16" t="s">
        <v>385</v>
      </c>
      <c r="C249" s="30" t="s">
        <v>78</v>
      </c>
      <c r="D249" s="126">
        <f>'№8 ведом.'!F201</f>
        <v>169</v>
      </c>
      <c r="E249" s="126">
        <f>'№8 ведом.'!G201</f>
        <v>168.5</v>
      </c>
    </row>
    <row r="250" spans="1:5" ht="33.6">
      <c r="A250" s="25" t="s">
        <v>211</v>
      </c>
      <c r="B250" s="16"/>
      <c r="C250" s="30" t="s">
        <v>209</v>
      </c>
      <c r="D250" s="126">
        <f>D251</f>
        <v>200</v>
      </c>
      <c r="E250" s="126">
        <f>E251</f>
        <v>200</v>
      </c>
    </row>
    <row r="251" spans="1:5" ht="12.75">
      <c r="A251" s="25" t="s">
        <v>211</v>
      </c>
      <c r="B251" s="16" t="s">
        <v>385</v>
      </c>
      <c r="C251" s="30" t="s">
        <v>78</v>
      </c>
      <c r="D251" s="126">
        <f>'№8 ведом.'!F203</f>
        <v>200</v>
      </c>
      <c r="E251" s="126">
        <f>'№8 ведом.'!G203</f>
        <v>200</v>
      </c>
    </row>
    <row r="252" spans="1:5" ht="50.4">
      <c r="A252" s="25" t="s">
        <v>203</v>
      </c>
      <c r="B252" s="16"/>
      <c r="C252" s="30" t="s">
        <v>54</v>
      </c>
      <c r="D252" s="126">
        <f>D253</f>
        <v>1669.2</v>
      </c>
      <c r="E252" s="126">
        <f>E253</f>
        <v>1669.2</v>
      </c>
    </row>
    <row r="253" spans="1:5" ht="12.75">
      <c r="A253" s="25" t="s">
        <v>203</v>
      </c>
      <c r="B253" s="16" t="s">
        <v>385</v>
      </c>
      <c r="C253" s="30" t="s">
        <v>78</v>
      </c>
      <c r="D253" s="126">
        <f>'№8 ведом.'!F189</f>
        <v>1669.2</v>
      </c>
      <c r="E253" s="126">
        <f>'№8 ведом.'!G189</f>
        <v>1669.2</v>
      </c>
    </row>
    <row r="254" spans="1:5" ht="33.6">
      <c r="A254" s="25" t="s">
        <v>212</v>
      </c>
      <c r="B254" s="16"/>
      <c r="C254" s="30" t="s">
        <v>213</v>
      </c>
      <c r="D254" s="126">
        <f>D255</f>
        <v>118.19999999999999</v>
      </c>
      <c r="E254" s="126">
        <f>E255</f>
        <v>118.2</v>
      </c>
    </row>
    <row r="255" spans="1:5" ht="12.75">
      <c r="A255" s="25" t="s">
        <v>212</v>
      </c>
      <c r="B255" s="16" t="s">
        <v>385</v>
      </c>
      <c r="C255" s="30" t="s">
        <v>78</v>
      </c>
      <c r="D255" s="126">
        <f>'№8 ведом.'!F205</f>
        <v>118.19999999999999</v>
      </c>
      <c r="E255" s="126">
        <f>'№8 ведом.'!G205</f>
        <v>118.2</v>
      </c>
    </row>
    <row r="256" spans="1:5" s="36" customFormat="1" ht="12.75">
      <c r="A256" s="26" t="s">
        <v>344</v>
      </c>
      <c r="B256" s="26"/>
      <c r="C256" s="27" t="s">
        <v>343</v>
      </c>
      <c r="D256" s="52">
        <f>D257+D259+D261+D263+D265+D267</f>
        <v>39499.200000000004</v>
      </c>
      <c r="E256" s="52">
        <f>E257+E259+E261+E263+E265+E267</f>
        <v>39033.7</v>
      </c>
    </row>
    <row r="257" spans="1:5" ht="12.75">
      <c r="A257" s="25" t="s">
        <v>345</v>
      </c>
      <c r="B257" s="16"/>
      <c r="C257" s="30" t="s">
        <v>0</v>
      </c>
      <c r="D257" s="126">
        <f>D258</f>
        <v>1418.3</v>
      </c>
      <c r="E257" s="126">
        <f>E258</f>
        <v>1418.3</v>
      </c>
    </row>
    <row r="258" spans="1:5" ht="12.75">
      <c r="A258" s="25" t="s">
        <v>345</v>
      </c>
      <c r="B258" s="16" t="s">
        <v>385</v>
      </c>
      <c r="C258" s="30" t="s">
        <v>78</v>
      </c>
      <c r="D258" s="126">
        <f>'№8 ведом.'!F15</f>
        <v>1418.3</v>
      </c>
      <c r="E258" s="126">
        <f>'№8 ведом.'!G15</f>
        <v>1418.3</v>
      </c>
    </row>
    <row r="259" spans="1:5" ht="67.2">
      <c r="A259" s="25" t="s">
        <v>311</v>
      </c>
      <c r="B259" s="16"/>
      <c r="C259" s="30" t="s">
        <v>63</v>
      </c>
      <c r="D259" s="126">
        <f>D260</f>
        <v>34900.8</v>
      </c>
      <c r="E259" s="126">
        <f>E260</f>
        <v>34534.1</v>
      </c>
    </row>
    <row r="260" spans="1:5" ht="12.75">
      <c r="A260" s="25" t="s">
        <v>311</v>
      </c>
      <c r="B260" s="16" t="s">
        <v>385</v>
      </c>
      <c r="C260" s="30" t="s">
        <v>78</v>
      </c>
      <c r="D260" s="126">
        <f>'№8 ведом.'!F20</f>
        <v>34900.8</v>
      </c>
      <c r="E260" s="126">
        <f>'№8 ведом.'!G20</f>
        <v>34534.1</v>
      </c>
    </row>
    <row r="261" spans="1:5" ht="50.4">
      <c r="A261" s="25" t="s">
        <v>347</v>
      </c>
      <c r="B261" s="16"/>
      <c r="C261" s="30" t="s">
        <v>64</v>
      </c>
      <c r="D261" s="126">
        <f>D262</f>
        <v>884.2</v>
      </c>
      <c r="E261" s="126">
        <f>E262</f>
        <v>809.4</v>
      </c>
    </row>
    <row r="262" spans="1:5" ht="12.75">
      <c r="A262" s="25" t="s">
        <v>347</v>
      </c>
      <c r="B262" s="16" t="s">
        <v>385</v>
      </c>
      <c r="C262" s="30" t="s">
        <v>78</v>
      </c>
      <c r="D262" s="126">
        <f>'№8 ведом.'!F24+'№8 ведом.'!F49+'№8 ведом.'!F62</f>
        <v>884.2</v>
      </c>
      <c r="E262" s="126">
        <f>'№8 ведом.'!G24+'№8 ведом.'!G49+'№8 ведом.'!G62</f>
        <v>809.4</v>
      </c>
    </row>
    <row r="263" spans="1:5" ht="117.6">
      <c r="A263" s="127" t="s">
        <v>387</v>
      </c>
      <c r="B263" s="67"/>
      <c r="C263" s="9" t="s">
        <v>388</v>
      </c>
      <c r="D263" s="126">
        <f>D264</f>
        <v>1419.2</v>
      </c>
      <c r="E263" s="126">
        <f>E264</f>
        <v>1419.1999999999998</v>
      </c>
    </row>
    <row r="264" spans="1:5" ht="12.75">
      <c r="A264" s="25" t="s">
        <v>387</v>
      </c>
      <c r="B264" s="16" t="s">
        <v>385</v>
      </c>
      <c r="C264" s="30" t="s">
        <v>78</v>
      </c>
      <c r="D264" s="126">
        <f>'№8 ведом.'!F64</f>
        <v>1419.2</v>
      </c>
      <c r="E264" s="126">
        <f>'№8 ведом.'!G64</f>
        <v>1419.1999999999998</v>
      </c>
    </row>
    <row r="265" spans="1:5" ht="67.2">
      <c r="A265" s="25" t="s">
        <v>305</v>
      </c>
      <c r="B265" s="16"/>
      <c r="C265" s="30" t="s">
        <v>306</v>
      </c>
      <c r="D265" s="126">
        <f>D266</f>
        <v>253.3</v>
      </c>
      <c r="E265" s="126">
        <f>E266</f>
        <v>230.20000000000002</v>
      </c>
    </row>
    <row r="266" spans="1:5" ht="12.75">
      <c r="A266" s="25" t="s">
        <v>305</v>
      </c>
      <c r="B266" s="16" t="s">
        <v>385</v>
      </c>
      <c r="C266" s="30" t="s">
        <v>78</v>
      </c>
      <c r="D266" s="126">
        <f>'№8 ведом.'!F51</f>
        <v>253.3</v>
      </c>
      <c r="E266" s="126">
        <f>'№8 ведом.'!G51</f>
        <v>230.20000000000002</v>
      </c>
    </row>
    <row r="267" spans="1:5" ht="50.4">
      <c r="A267" s="25" t="s">
        <v>348</v>
      </c>
      <c r="B267" s="16"/>
      <c r="C267" s="30" t="s">
        <v>349</v>
      </c>
      <c r="D267" s="126">
        <f>D268</f>
        <v>623.4</v>
      </c>
      <c r="E267" s="126">
        <f>E268</f>
        <v>622.5</v>
      </c>
    </row>
    <row r="268" spans="1:5" ht="12.75">
      <c r="A268" s="25" t="s">
        <v>348</v>
      </c>
      <c r="B268" s="16" t="s">
        <v>385</v>
      </c>
      <c r="C268" s="30" t="s">
        <v>78</v>
      </c>
      <c r="D268" s="126">
        <f>'№8 ведом.'!F26</f>
        <v>623.4</v>
      </c>
      <c r="E268" s="126">
        <f>'№8 ведом.'!G26</f>
        <v>622.5</v>
      </c>
    </row>
    <row r="269" spans="1:5" s="36" customFormat="1" ht="50.4">
      <c r="A269" s="26" t="s">
        <v>159</v>
      </c>
      <c r="B269" s="26"/>
      <c r="C269" s="27" t="s">
        <v>160</v>
      </c>
      <c r="D269" s="52">
        <f>D270+D281</f>
        <v>19351.399999999998</v>
      </c>
      <c r="E269" s="52">
        <f>E270+E281</f>
        <v>13178.4</v>
      </c>
    </row>
    <row r="270" spans="1:5" s="36" customFormat="1" ht="50.4">
      <c r="A270" s="26" t="s">
        <v>161</v>
      </c>
      <c r="B270" s="26"/>
      <c r="C270" s="27" t="s">
        <v>162</v>
      </c>
      <c r="D270" s="52">
        <f>D271+D273+D275+D277+D279</f>
        <v>13988.599999999999</v>
      </c>
      <c r="E270" s="52">
        <f>E271+E273+E275+E277+E279</f>
        <v>7823.2</v>
      </c>
    </row>
    <row r="271" spans="1:5" ht="33.6">
      <c r="A271" s="25" t="s">
        <v>163</v>
      </c>
      <c r="B271" s="55"/>
      <c r="C271" s="30" t="s">
        <v>164</v>
      </c>
      <c r="D271" s="126">
        <f>D272</f>
        <v>957.2000000000003</v>
      </c>
      <c r="E271" s="126">
        <f>E272</f>
        <v>906.4</v>
      </c>
    </row>
    <row r="272" spans="1:5" ht="33.6">
      <c r="A272" s="25" t="s">
        <v>163</v>
      </c>
      <c r="B272" s="55" t="s">
        <v>15</v>
      </c>
      <c r="C272" s="30" t="s">
        <v>351</v>
      </c>
      <c r="D272" s="126">
        <f>'№8 ведом.'!F260</f>
        <v>957.2000000000003</v>
      </c>
      <c r="E272" s="126">
        <f>'№8 ведом.'!G260</f>
        <v>906.4</v>
      </c>
    </row>
    <row r="273" spans="1:5" ht="33.6">
      <c r="A273" s="25" t="s">
        <v>165</v>
      </c>
      <c r="B273" s="55"/>
      <c r="C273" s="30" t="s">
        <v>166</v>
      </c>
      <c r="D273" s="126">
        <f>D274</f>
        <v>313</v>
      </c>
      <c r="E273" s="126">
        <f>E274</f>
        <v>295.7</v>
      </c>
    </row>
    <row r="274" spans="1:5" ht="33.6">
      <c r="A274" s="25" t="s">
        <v>165</v>
      </c>
      <c r="B274" s="55" t="s">
        <v>15</v>
      </c>
      <c r="C274" s="30" t="s">
        <v>351</v>
      </c>
      <c r="D274" s="126">
        <f>'№8 ведом.'!F262</f>
        <v>313</v>
      </c>
      <c r="E274" s="126">
        <f>'№8 ведом.'!G262</f>
        <v>295.7</v>
      </c>
    </row>
    <row r="275" spans="1:5" ht="12.75">
      <c r="A275" s="25" t="s">
        <v>168</v>
      </c>
      <c r="B275" s="55"/>
      <c r="C275" s="30" t="s">
        <v>167</v>
      </c>
      <c r="D275" s="126">
        <f>D276</f>
        <v>6380.699999999999</v>
      </c>
      <c r="E275" s="126">
        <f>E276</f>
        <v>6344.8</v>
      </c>
    </row>
    <row r="276" spans="1:5" ht="33.6">
      <c r="A276" s="25" t="s">
        <v>168</v>
      </c>
      <c r="B276" s="55" t="s">
        <v>15</v>
      </c>
      <c r="C276" s="30" t="s">
        <v>351</v>
      </c>
      <c r="D276" s="126">
        <f>'№8 ведом.'!F264</f>
        <v>6380.699999999999</v>
      </c>
      <c r="E276" s="126">
        <f>'№8 ведом.'!G264</f>
        <v>6344.8</v>
      </c>
    </row>
    <row r="277" spans="1:5" ht="33.6">
      <c r="A277" s="25" t="s">
        <v>172</v>
      </c>
      <c r="B277" s="55"/>
      <c r="C277" s="30" t="s">
        <v>171</v>
      </c>
      <c r="D277" s="126">
        <f>D278</f>
        <v>286.3</v>
      </c>
      <c r="E277" s="126">
        <f>E278</f>
        <v>276.3</v>
      </c>
    </row>
    <row r="278" spans="1:5" ht="33.6">
      <c r="A278" s="25" t="s">
        <v>172</v>
      </c>
      <c r="B278" s="55" t="s">
        <v>15</v>
      </c>
      <c r="C278" s="30" t="s">
        <v>351</v>
      </c>
      <c r="D278" s="126">
        <f>'№8 ведом.'!F277</f>
        <v>286.3</v>
      </c>
      <c r="E278" s="126">
        <f>'№8 ведом.'!G277</f>
        <v>276.3</v>
      </c>
    </row>
    <row r="279" spans="1:5" ht="84">
      <c r="A279" s="8" t="s">
        <v>440</v>
      </c>
      <c r="B279" s="55"/>
      <c r="C279" s="9" t="s">
        <v>441</v>
      </c>
      <c r="D279" s="126">
        <f>D280</f>
        <v>6051.4</v>
      </c>
      <c r="E279" s="126">
        <f>E280</f>
        <v>0</v>
      </c>
    </row>
    <row r="280" spans="1:5" ht="33.6">
      <c r="A280" s="8" t="s">
        <v>440</v>
      </c>
      <c r="B280" s="55" t="s">
        <v>15</v>
      </c>
      <c r="C280" s="30" t="s">
        <v>351</v>
      </c>
      <c r="D280" s="126">
        <f>'№8 ведом.'!F267</f>
        <v>6051.4</v>
      </c>
      <c r="E280" s="126">
        <f>'№8 ведом.'!G267</f>
        <v>0</v>
      </c>
    </row>
    <row r="281" spans="1:5" s="36" customFormat="1" ht="12.75">
      <c r="A281" s="26" t="s">
        <v>169</v>
      </c>
      <c r="B281" s="26"/>
      <c r="C281" s="27" t="s">
        <v>343</v>
      </c>
      <c r="D281" s="52">
        <f aca="true" t="shared" si="5" ref="D281:E282">D282</f>
        <v>5362.8</v>
      </c>
      <c r="E281" s="52">
        <f t="shared" si="5"/>
        <v>5355.2</v>
      </c>
    </row>
    <row r="282" spans="1:5" ht="67.2">
      <c r="A282" s="25" t="s">
        <v>170</v>
      </c>
      <c r="B282" s="55"/>
      <c r="C282" s="30" t="s">
        <v>63</v>
      </c>
      <c r="D282" s="126">
        <f t="shared" si="5"/>
        <v>5362.8</v>
      </c>
      <c r="E282" s="126">
        <f t="shared" si="5"/>
        <v>5355.2</v>
      </c>
    </row>
    <row r="283" spans="1:5" ht="33.6">
      <c r="A283" s="25" t="s">
        <v>170</v>
      </c>
      <c r="B283" s="55" t="s">
        <v>15</v>
      </c>
      <c r="C283" s="30" t="s">
        <v>351</v>
      </c>
      <c r="D283" s="126">
        <f>'№8 ведом.'!F269</f>
        <v>5362.8</v>
      </c>
      <c r="E283" s="126">
        <f>'№8 ведом.'!G269</f>
        <v>5355.2</v>
      </c>
    </row>
    <row r="284" spans="1:5" s="36" customFormat="1" ht="50.4">
      <c r="A284" s="26" t="s">
        <v>359</v>
      </c>
      <c r="B284" s="26"/>
      <c r="C284" s="27" t="s">
        <v>358</v>
      </c>
      <c r="D284" s="52">
        <f>D285+D290+D293+D296</f>
        <v>11716.400000000001</v>
      </c>
      <c r="E284" s="52">
        <f>E285+E290+E293+E296</f>
        <v>11714.8</v>
      </c>
    </row>
    <row r="285" spans="1:5" s="36" customFormat="1" ht="33.6">
      <c r="A285" s="26" t="s">
        <v>296</v>
      </c>
      <c r="B285" s="26"/>
      <c r="C285" s="27" t="s">
        <v>293</v>
      </c>
      <c r="D285" s="52">
        <f>D286+D288</f>
        <v>1712.7</v>
      </c>
      <c r="E285" s="52">
        <f>E286+E288</f>
        <v>1712.7</v>
      </c>
    </row>
    <row r="286" spans="1:5" ht="50.4">
      <c r="A286" s="25" t="s">
        <v>303</v>
      </c>
      <c r="B286" s="55"/>
      <c r="C286" s="30" t="s">
        <v>304</v>
      </c>
      <c r="D286" s="126">
        <f>D287</f>
        <v>1441.7</v>
      </c>
      <c r="E286" s="126">
        <f>E287</f>
        <v>1441.7</v>
      </c>
    </row>
    <row r="287" spans="1:5" ht="33.6">
      <c r="A287" s="25" t="s">
        <v>303</v>
      </c>
      <c r="B287" s="55" t="s">
        <v>17</v>
      </c>
      <c r="C287" s="30" t="s">
        <v>50</v>
      </c>
      <c r="D287" s="126">
        <f>'№8 ведом.'!F238</f>
        <v>1441.7</v>
      </c>
      <c r="E287" s="126">
        <f>'№8 ведом.'!G238</f>
        <v>1441.7</v>
      </c>
    </row>
    <row r="288" spans="1:5" ht="67.2">
      <c r="A288" s="8" t="s">
        <v>420</v>
      </c>
      <c r="B288" s="55"/>
      <c r="C288" s="24" t="s">
        <v>402</v>
      </c>
      <c r="D288" s="126">
        <f>D289</f>
        <v>271</v>
      </c>
      <c r="E288" s="126">
        <f>E289</f>
        <v>271</v>
      </c>
    </row>
    <row r="289" spans="1:5" ht="33.6">
      <c r="A289" s="8" t="s">
        <v>420</v>
      </c>
      <c r="B289" s="55" t="s">
        <v>17</v>
      </c>
      <c r="C289" s="30" t="s">
        <v>50</v>
      </c>
      <c r="D289" s="126">
        <f>'№8 ведом.'!F241</f>
        <v>271</v>
      </c>
      <c r="E289" s="126">
        <f>'№8 ведом.'!G241</f>
        <v>271</v>
      </c>
    </row>
    <row r="290" spans="1:5" s="36" customFormat="1" ht="50.4">
      <c r="A290" s="26" t="s">
        <v>119</v>
      </c>
      <c r="B290" s="26"/>
      <c r="C290" s="27" t="s">
        <v>118</v>
      </c>
      <c r="D290" s="52">
        <f aca="true" t="shared" si="6" ref="D290:E290">D291</f>
        <v>339.6</v>
      </c>
      <c r="E290" s="52">
        <f t="shared" si="6"/>
        <v>339.6</v>
      </c>
    </row>
    <row r="291" spans="1:5" ht="12.75">
      <c r="A291" s="25" t="s">
        <v>120</v>
      </c>
      <c r="B291" s="55"/>
      <c r="C291" s="30" t="s">
        <v>121</v>
      </c>
      <c r="D291" s="126">
        <f>D292</f>
        <v>339.6</v>
      </c>
      <c r="E291" s="126">
        <f>E292</f>
        <v>339.6</v>
      </c>
    </row>
    <row r="292" spans="1:5" ht="33.6">
      <c r="A292" s="25" t="s">
        <v>120</v>
      </c>
      <c r="B292" s="55" t="s">
        <v>17</v>
      </c>
      <c r="C292" s="30" t="s">
        <v>50</v>
      </c>
      <c r="D292" s="126">
        <f>'№8 ведом.'!F253</f>
        <v>339.6</v>
      </c>
      <c r="E292" s="126">
        <f>'№8 ведом.'!G253</f>
        <v>339.6</v>
      </c>
    </row>
    <row r="293" spans="1:5" s="36" customFormat="1" ht="12.75">
      <c r="A293" s="26" t="s">
        <v>307</v>
      </c>
      <c r="B293" s="26"/>
      <c r="C293" s="27" t="s">
        <v>114</v>
      </c>
      <c r="D293" s="52">
        <f aca="true" t="shared" si="7" ref="D293:E294">D294</f>
        <v>4.100000000000001</v>
      </c>
      <c r="E293" s="52">
        <f t="shared" si="7"/>
        <v>4.1</v>
      </c>
    </row>
    <row r="294" spans="1:5" ht="33.6">
      <c r="A294" s="8" t="s">
        <v>308</v>
      </c>
      <c r="B294" s="8"/>
      <c r="C294" s="24" t="s">
        <v>309</v>
      </c>
      <c r="D294" s="126">
        <f t="shared" si="7"/>
        <v>4.100000000000001</v>
      </c>
      <c r="E294" s="126">
        <f t="shared" si="7"/>
        <v>4.1</v>
      </c>
    </row>
    <row r="295" spans="1:5" ht="33.6">
      <c r="A295" s="8" t="s">
        <v>308</v>
      </c>
      <c r="B295" s="55" t="s">
        <v>17</v>
      </c>
      <c r="C295" s="30" t="s">
        <v>50</v>
      </c>
      <c r="D295" s="126">
        <f>'№8 ведом.'!F243</f>
        <v>4.100000000000001</v>
      </c>
      <c r="E295" s="126">
        <f>'№8 ведом.'!G243</f>
        <v>4.1</v>
      </c>
    </row>
    <row r="296" spans="1:5" s="36" customFormat="1" ht="12.75">
      <c r="A296" s="26" t="s">
        <v>360</v>
      </c>
      <c r="B296" s="26"/>
      <c r="C296" s="27" t="s">
        <v>343</v>
      </c>
      <c r="D296" s="52">
        <f aca="true" t="shared" si="8" ref="D296:E297">D297</f>
        <v>9660.000000000002</v>
      </c>
      <c r="E296" s="52">
        <f t="shared" si="8"/>
        <v>9658.4</v>
      </c>
    </row>
    <row r="297" spans="1:5" ht="67.2">
      <c r="A297" s="25" t="s">
        <v>314</v>
      </c>
      <c r="B297" s="55"/>
      <c r="C297" s="30" t="s">
        <v>63</v>
      </c>
      <c r="D297" s="126">
        <f t="shared" si="8"/>
        <v>9660.000000000002</v>
      </c>
      <c r="E297" s="126">
        <f t="shared" si="8"/>
        <v>9658.4</v>
      </c>
    </row>
    <row r="298" spans="1:5" ht="33.6">
      <c r="A298" s="25" t="s">
        <v>314</v>
      </c>
      <c r="B298" s="55" t="s">
        <v>17</v>
      </c>
      <c r="C298" s="30" t="s">
        <v>50</v>
      </c>
      <c r="D298" s="126">
        <f>'№8 ведом.'!F231</f>
        <v>9660.000000000002</v>
      </c>
      <c r="E298" s="126">
        <f>'№8 ведом.'!G231</f>
        <v>9658.4</v>
      </c>
    </row>
    <row r="299" spans="1:5" s="36" customFormat="1" ht="33.6">
      <c r="A299" s="26" t="s">
        <v>297</v>
      </c>
      <c r="B299" s="26"/>
      <c r="C299" s="27" t="s">
        <v>294</v>
      </c>
      <c r="D299" s="52">
        <f>D300+D312+D303+D307</f>
        <v>5324.299999999999</v>
      </c>
      <c r="E299" s="52">
        <f>E300+E312+E303+E307</f>
        <v>5277.999999999999</v>
      </c>
    </row>
    <row r="300" spans="1:5" s="36" customFormat="1" ht="33.6">
      <c r="A300" s="26" t="s">
        <v>302</v>
      </c>
      <c r="B300" s="26"/>
      <c r="C300" s="27" t="s">
        <v>116</v>
      </c>
      <c r="D300" s="52">
        <f aca="true" t="shared" si="9" ref="D300:E301">D301</f>
        <v>566.7</v>
      </c>
      <c r="E300" s="52">
        <f t="shared" si="9"/>
        <v>566.7</v>
      </c>
    </row>
    <row r="301" spans="1:5" ht="33.6">
      <c r="A301" s="25" t="s">
        <v>302</v>
      </c>
      <c r="B301" s="55" t="s">
        <v>53</v>
      </c>
      <c r="C301" s="30" t="s">
        <v>116</v>
      </c>
      <c r="D301" s="126">
        <f t="shared" si="9"/>
        <v>566.7</v>
      </c>
      <c r="E301" s="126">
        <f t="shared" si="9"/>
        <v>566.7</v>
      </c>
    </row>
    <row r="302" spans="1:5" ht="12.75">
      <c r="A302" s="25" t="s">
        <v>302</v>
      </c>
      <c r="B302" s="16" t="s">
        <v>385</v>
      </c>
      <c r="C302" s="30" t="s">
        <v>78</v>
      </c>
      <c r="D302" s="126">
        <f>'№8 ведом.'!F139</f>
        <v>566.7</v>
      </c>
      <c r="E302" s="126">
        <f>'№8 ведом.'!G139</f>
        <v>566.7</v>
      </c>
    </row>
    <row r="303" spans="1:5" ht="12.75">
      <c r="A303" s="26" t="s">
        <v>409</v>
      </c>
      <c r="B303" s="55"/>
      <c r="C303" s="27" t="s">
        <v>408</v>
      </c>
      <c r="D303" s="52">
        <f aca="true" t="shared" si="10" ref="D303:E303">D304</f>
        <v>82.4</v>
      </c>
      <c r="E303" s="52">
        <f t="shared" si="10"/>
        <v>82.4</v>
      </c>
    </row>
    <row r="304" spans="1:5" ht="12.75">
      <c r="A304" s="25" t="s">
        <v>410</v>
      </c>
      <c r="B304" s="55"/>
      <c r="C304" s="24" t="s">
        <v>167</v>
      </c>
      <c r="D304" s="126">
        <f>D305+D306</f>
        <v>82.4</v>
      </c>
      <c r="E304" s="126">
        <f>E305+E306</f>
        <v>82.4</v>
      </c>
    </row>
    <row r="305" spans="1:5" ht="33.6">
      <c r="A305" s="25" t="s">
        <v>410</v>
      </c>
      <c r="B305" s="55" t="s">
        <v>17</v>
      </c>
      <c r="C305" s="30" t="s">
        <v>50</v>
      </c>
      <c r="D305" s="126">
        <f>'№8 ведом.'!F248</f>
        <v>67.4</v>
      </c>
      <c r="E305" s="126">
        <f>'№8 ведом.'!G248</f>
        <v>67.4</v>
      </c>
    </row>
    <row r="306" spans="1:5" ht="12.75">
      <c r="A306" s="25" t="s">
        <v>410</v>
      </c>
      <c r="B306" s="16" t="s">
        <v>385</v>
      </c>
      <c r="C306" s="30" t="s">
        <v>78</v>
      </c>
      <c r="D306" s="126">
        <f>'№8 ведом.'!F57</f>
        <v>15</v>
      </c>
      <c r="E306" s="126">
        <f>'№8 ведом.'!G57</f>
        <v>15</v>
      </c>
    </row>
    <row r="307" spans="1:5" ht="50.4">
      <c r="A307" s="26">
        <v>9977888</v>
      </c>
      <c r="B307" s="55"/>
      <c r="C307" s="27" t="s">
        <v>429</v>
      </c>
      <c r="D307" s="52">
        <f>D308</f>
        <v>188.2</v>
      </c>
      <c r="E307" s="52">
        <f>E308</f>
        <v>188.2</v>
      </c>
    </row>
    <row r="308" spans="1:5" ht="50.4">
      <c r="A308" s="25">
        <v>9977888</v>
      </c>
      <c r="B308" s="55"/>
      <c r="C308" s="23" t="s">
        <v>429</v>
      </c>
      <c r="D308" s="126">
        <f>SUM(D309:D311)</f>
        <v>188.2</v>
      </c>
      <c r="E308" s="126">
        <f>SUM(E309:E311)</f>
        <v>188.2</v>
      </c>
    </row>
    <row r="309" spans="1:5" ht="12.75">
      <c r="A309" s="25">
        <v>9977888</v>
      </c>
      <c r="B309" s="16" t="s">
        <v>385</v>
      </c>
      <c r="C309" s="30" t="s">
        <v>78</v>
      </c>
      <c r="D309" s="126">
        <f>'№8 ведом.'!F184</f>
        <v>63.2</v>
      </c>
      <c r="E309" s="126">
        <f>'№8 ведом.'!G184</f>
        <v>63.2</v>
      </c>
    </row>
    <row r="310" spans="1:5" ht="33.6">
      <c r="A310" s="25">
        <v>9977888</v>
      </c>
      <c r="B310" s="8" t="s">
        <v>362</v>
      </c>
      <c r="C310" s="56" t="s">
        <v>367</v>
      </c>
      <c r="D310" s="126">
        <f>'№8 ведом.'!F361</f>
        <v>50</v>
      </c>
      <c r="E310" s="126">
        <f>'№8 ведом.'!G361</f>
        <v>50</v>
      </c>
    </row>
    <row r="311" spans="1:5" ht="33.6">
      <c r="A311" s="25">
        <v>9977888</v>
      </c>
      <c r="B311" s="25" t="s">
        <v>370</v>
      </c>
      <c r="C311" s="23" t="s">
        <v>371</v>
      </c>
      <c r="D311" s="126">
        <f>'№8 ведом.'!F390</f>
        <v>75</v>
      </c>
      <c r="E311" s="126">
        <f>'№8 ведом.'!G390</f>
        <v>75</v>
      </c>
    </row>
    <row r="312" spans="1:5" s="36" customFormat="1" ht="50.4">
      <c r="A312" s="26" t="s">
        <v>298</v>
      </c>
      <c r="B312" s="26"/>
      <c r="C312" s="27" t="s">
        <v>353</v>
      </c>
      <c r="D312" s="52">
        <f>D313+D315</f>
        <v>4487</v>
      </c>
      <c r="E312" s="52">
        <f>E313+E315</f>
        <v>4440.7</v>
      </c>
    </row>
    <row r="313" spans="1:5" ht="12.75">
      <c r="A313" s="25" t="s">
        <v>434</v>
      </c>
      <c r="B313" s="55" t="s">
        <v>53</v>
      </c>
      <c r="C313" s="30" t="s">
        <v>354</v>
      </c>
      <c r="D313" s="126">
        <f>D314</f>
        <v>1201.9</v>
      </c>
      <c r="E313" s="126">
        <f>E314</f>
        <v>1199.5</v>
      </c>
    </row>
    <row r="314" spans="1:5" ht="12.75">
      <c r="A314" s="25" t="s">
        <v>434</v>
      </c>
      <c r="B314" s="55" t="s">
        <v>379</v>
      </c>
      <c r="C314" s="30" t="s">
        <v>350</v>
      </c>
      <c r="D314" s="126">
        <f>'№8 ведом.'!F291</f>
        <v>1201.9</v>
      </c>
      <c r="E314" s="126">
        <f>'№8 ведом.'!G291</f>
        <v>1199.5</v>
      </c>
    </row>
    <row r="315" spans="1:5" ht="33.6">
      <c r="A315" s="25" t="s">
        <v>301</v>
      </c>
      <c r="B315" s="55" t="s">
        <v>53</v>
      </c>
      <c r="C315" s="30" t="s">
        <v>355</v>
      </c>
      <c r="D315" s="126">
        <f>D316</f>
        <v>3285.1</v>
      </c>
      <c r="E315" s="126">
        <f>E316</f>
        <v>3241.2</v>
      </c>
    </row>
    <row r="316" spans="1:5" ht="12.75">
      <c r="A316" s="25" t="s">
        <v>301</v>
      </c>
      <c r="B316" s="55" t="s">
        <v>379</v>
      </c>
      <c r="C316" s="30" t="s">
        <v>350</v>
      </c>
      <c r="D316" s="126">
        <f>'№8 ведом.'!F293</f>
        <v>3285.1</v>
      </c>
      <c r="E316" s="126">
        <f>'№8 ведом.'!G293</f>
        <v>3241.2</v>
      </c>
    </row>
  </sheetData>
  <mergeCells count="4">
    <mergeCell ref="D1:E1"/>
    <mergeCell ref="B2:E2"/>
    <mergeCell ref="A3:E3"/>
    <mergeCell ref="A5:E5"/>
  </mergeCells>
  <printOptions/>
  <pageMargins left="0.5905511811023623" right="0.11811023622047245" top="0.15748031496062992" bottom="0.15748031496062992" header="0.31496062992125984" footer="0.31496062992125984"/>
  <pageSetup fitToHeight="0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workbookViewId="0" topLeftCell="A1">
      <selection activeCell="J8" sqref="J8"/>
    </sheetView>
  </sheetViews>
  <sheetFormatPr defaultColWidth="9.125" defaultRowHeight="12.75"/>
  <cols>
    <col min="1" max="1" width="7.50390625" style="2" customWidth="1"/>
    <col min="2" max="2" width="6.875" style="2" customWidth="1"/>
    <col min="3" max="3" width="10.50390625" style="2" customWidth="1"/>
    <col min="4" max="4" width="72.50390625" style="62" customWidth="1"/>
    <col min="5" max="5" width="13.875" style="94" customWidth="1"/>
    <col min="6" max="6" width="13.875" style="62" customWidth="1"/>
    <col min="7" max="16384" width="9.125" style="62" customWidth="1"/>
  </cols>
  <sheetData>
    <row r="1" spans="4:6" ht="12.75">
      <c r="D1" s="314" t="s">
        <v>578</v>
      </c>
      <c r="E1" s="314"/>
      <c r="F1" s="314"/>
    </row>
    <row r="2" spans="4:6" ht="12.75">
      <c r="D2" s="314" t="s">
        <v>448</v>
      </c>
      <c r="E2" s="314"/>
      <c r="F2" s="314"/>
    </row>
    <row r="3" spans="4:6" ht="12.75">
      <c r="D3" s="314" t="s">
        <v>1136</v>
      </c>
      <c r="E3" s="314"/>
      <c r="F3" s="314"/>
    </row>
    <row r="5" spans="1:6" ht="37.8" customHeight="1">
      <c r="A5" s="322" t="s">
        <v>566</v>
      </c>
      <c r="B5" s="322"/>
      <c r="C5" s="322"/>
      <c r="D5" s="322"/>
      <c r="E5" s="322"/>
      <c r="F5" s="322"/>
    </row>
    <row r="6" spans="1:6" ht="12.75">
      <c r="A6" s="178"/>
      <c r="B6" s="178"/>
      <c r="C6" s="178"/>
      <c r="D6" s="193"/>
      <c r="E6" s="130"/>
      <c r="F6" s="179" t="s">
        <v>565</v>
      </c>
    </row>
    <row r="7" spans="1:6" ht="50.4">
      <c r="A7" s="125" t="s">
        <v>444</v>
      </c>
      <c r="B7" s="131" t="s">
        <v>18</v>
      </c>
      <c r="C7" s="131" t="s">
        <v>382</v>
      </c>
      <c r="D7" s="132" t="s">
        <v>384</v>
      </c>
      <c r="E7" s="276" t="s">
        <v>558</v>
      </c>
      <c r="F7" s="197" t="s">
        <v>559</v>
      </c>
    </row>
    <row r="8" spans="1:6" ht="12.75">
      <c r="A8" s="3">
        <v>1</v>
      </c>
      <c r="B8" s="99">
        <v>2</v>
      </c>
      <c r="C8" s="99">
        <v>3</v>
      </c>
      <c r="D8" s="100">
        <v>4</v>
      </c>
      <c r="E8" s="168">
        <v>5</v>
      </c>
      <c r="F8" s="173">
        <v>6</v>
      </c>
    </row>
    <row r="9" spans="1:6" ht="12.75">
      <c r="A9" s="3"/>
      <c r="B9" s="99"/>
      <c r="C9" s="99"/>
      <c r="D9" s="101" t="s">
        <v>41</v>
      </c>
      <c r="E9" s="95">
        <f>E10+E14+E18+E20+E22+E24+E26+E28+E30+E32+E34+E36+E40+E42+E44+E46+E48+E38+E51+E53+E55+E57+E60+E62+E66+E68+E70+E72+E74+E76+E78+E80+E82+E84</f>
        <v>349486.0999999999</v>
      </c>
      <c r="F9" s="95">
        <f>F10+F14+F18+F20+F22+F24+F26+F28+F30+F32+F34+F36+F40+F42+F44+F46+F48+F38+F51+F53+F55+F57+F60+F62+F66+F68+F70+F72+F74+F76+F78+F80+F82+F84</f>
        <v>340741.99999999994</v>
      </c>
    </row>
    <row r="10" spans="1:6" ht="67.2">
      <c r="A10" s="102">
        <v>1</v>
      </c>
      <c r="B10" s="8"/>
      <c r="C10" s="8"/>
      <c r="D10" s="103" t="s">
        <v>86</v>
      </c>
      <c r="E10" s="174">
        <f>E11</f>
        <v>87902.7</v>
      </c>
      <c r="F10" s="174">
        <f>F11</f>
        <v>87902.7</v>
      </c>
    </row>
    <row r="11" spans="1:6" ht="33.6">
      <c r="A11" s="3"/>
      <c r="B11" s="11" t="s">
        <v>33</v>
      </c>
      <c r="C11" s="8" t="s">
        <v>85</v>
      </c>
      <c r="D11" s="9" t="s">
        <v>371</v>
      </c>
      <c r="E11" s="175">
        <f>'№8 ведом.'!F387</f>
        <v>87902.7</v>
      </c>
      <c r="F11" s="175">
        <f>'№8 ведом.'!G387</f>
        <v>87902.7</v>
      </c>
    </row>
    <row r="12" spans="1:6" ht="12.75">
      <c r="A12" s="3"/>
      <c r="B12" s="8"/>
      <c r="C12" s="8"/>
      <c r="D12" s="104" t="s">
        <v>449</v>
      </c>
      <c r="E12" s="176">
        <v>83839.7</v>
      </c>
      <c r="F12" s="176">
        <v>83839.7</v>
      </c>
    </row>
    <row r="13" spans="1:6" ht="12.75">
      <c r="A13" s="3"/>
      <c r="B13" s="8"/>
      <c r="C13" s="8"/>
      <c r="D13" s="105" t="s">
        <v>450</v>
      </c>
      <c r="E13" s="176">
        <v>4063</v>
      </c>
      <c r="F13" s="176">
        <v>4063</v>
      </c>
    </row>
    <row r="14" spans="1:6" ht="100.8">
      <c r="A14" s="102">
        <v>2</v>
      </c>
      <c r="B14" s="102"/>
      <c r="C14" s="102"/>
      <c r="D14" s="103" t="s">
        <v>113</v>
      </c>
      <c r="E14" s="174">
        <f>E15</f>
        <v>171988.9</v>
      </c>
      <c r="F14" s="174">
        <f>F15</f>
        <v>171988.9</v>
      </c>
    </row>
    <row r="15" spans="1:6" ht="33.6">
      <c r="A15" s="3"/>
      <c r="B15" s="11" t="s">
        <v>34</v>
      </c>
      <c r="C15" s="8" t="s">
        <v>112</v>
      </c>
      <c r="D15" s="9" t="s">
        <v>451</v>
      </c>
      <c r="E15" s="175">
        <f>'№8 ведом.'!F423</f>
        <v>171988.9</v>
      </c>
      <c r="F15" s="175">
        <f>'№8 ведом.'!G423</f>
        <v>171988.9</v>
      </c>
    </row>
    <row r="16" spans="1:6" ht="12.75">
      <c r="A16" s="3"/>
      <c r="B16" s="8"/>
      <c r="C16" s="8"/>
      <c r="D16" s="104" t="s">
        <v>449</v>
      </c>
      <c r="E16" s="176">
        <v>160965.9</v>
      </c>
      <c r="F16" s="176">
        <v>160965.9</v>
      </c>
    </row>
    <row r="17" spans="1:6" ht="12.75">
      <c r="A17" s="3"/>
      <c r="B17" s="8"/>
      <c r="C17" s="8"/>
      <c r="D17" s="105" t="s">
        <v>450</v>
      </c>
      <c r="E17" s="176">
        <v>11023</v>
      </c>
      <c r="F17" s="176">
        <v>11023</v>
      </c>
    </row>
    <row r="18" spans="1:6" s="106" customFormat="1" ht="67.2">
      <c r="A18" s="102">
        <v>3</v>
      </c>
      <c r="B18" s="102"/>
      <c r="C18" s="102"/>
      <c r="D18" s="103" t="s">
        <v>111</v>
      </c>
      <c r="E18" s="95">
        <f>E19</f>
        <v>7754.1</v>
      </c>
      <c r="F18" s="95">
        <f>F19</f>
        <v>7438.8</v>
      </c>
    </row>
    <row r="19" spans="1:6" s="106" customFormat="1" ht="33.6">
      <c r="A19" s="102"/>
      <c r="B19" s="99">
        <v>1004</v>
      </c>
      <c r="C19" s="8" t="s">
        <v>110</v>
      </c>
      <c r="D19" s="9" t="s">
        <v>371</v>
      </c>
      <c r="E19" s="61">
        <f>'№8 ведом.'!F457</f>
        <v>7754.1</v>
      </c>
      <c r="F19" s="61">
        <f>'№8 ведом.'!G457</f>
        <v>7438.8</v>
      </c>
    </row>
    <row r="20" spans="1:6" s="106" customFormat="1" ht="67.2">
      <c r="A20" s="102">
        <v>4</v>
      </c>
      <c r="B20" s="102"/>
      <c r="C20" s="102"/>
      <c r="D20" s="103" t="s">
        <v>349</v>
      </c>
      <c r="E20" s="95">
        <f>E21</f>
        <v>623.4</v>
      </c>
      <c r="F20" s="95">
        <f>F21</f>
        <v>622.5</v>
      </c>
    </row>
    <row r="21" spans="1:6" s="106" customFormat="1" ht="12.75">
      <c r="A21" s="102"/>
      <c r="B21" s="25" t="s">
        <v>27</v>
      </c>
      <c r="C21" s="8" t="s">
        <v>348</v>
      </c>
      <c r="D21" s="56" t="s">
        <v>78</v>
      </c>
      <c r="E21" s="61">
        <f>'№8 ведом.'!F26</f>
        <v>623.4</v>
      </c>
      <c r="F21" s="61">
        <f>'№8 ведом.'!G26</f>
        <v>622.5</v>
      </c>
    </row>
    <row r="22" spans="1:6" s="106" customFormat="1" ht="117.6">
      <c r="A22" s="102">
        <v>5</v>
      </c>
      <c r="B22" s="102"/>
      <c r="C22" s="102"/>
      <c r="D22" s="103" t="s">
        <v>388</v>
      </c>
      <c r="E22" s="95">
        <f>E23</f>
        <v>1419.2</v>
      </c>
      <c r="F22" s="95">
        <f>F23</f>
        <v>1419.1999999999998</v>
      </c>
    </row>
    <row r="23" spans="1:6" s="106" customFormat="1" ht="12.75">
      <c r="A23" s="102"/>
      <c r="B23" s="25" t="s">
        <v>65</v>
      </c>
      <c r="C23" s="98" t="s">
        <v>387</v>
      </c>
      <c r="D23" s="9" t="s">
        <v>78</v>
      </c>
      <c r="E23" s="61">
        <f>'№8 ведом.'!F64</f>
        <v>1419.2</v>
      </c>
      <c r="F23" s="61">
        <f>'№8 ведом.'!G64</f>
        <v>1419.1999999999998</v>
      </c>
    </row>
    <row r="24" spans="1:6" s="106" customFormat="1" ht="84">
      <c r="A24" s="102">
        <v>6</v>
      </c>
      <c r="B24" s="102"/>
      <c r="C24" s="102"/>
      <c r="D24" s="103" t="s">
        <v>306</v>
      </c>
      <c r="E24" s="95">
        <f>E25</f>
        <v>253.3</v>
      </c>
      <c r="F24" s="95">
        <f>F25</f>
        <v>230.20000000000002</v>
      </c>
    </row>
    <row r="25" spans="1:6" s="106" customFormat="1" ht="12.75">
      <c r="A25" s="102"/>
      <c r="B25" s="8" t="s">
        <v>43</v>
      </c>
      <c r="C25" s="98" t="s">
        <v>305</v>
      </c>
      <c r="D25" s="9" t="s">
        <v>78</v>
      </c>
      <c r="E25" s="61">
        <f>'№8 ведом.'!F51</f>
        <v>253.3</v>
      </c>
      <c r="F25" s="61">
        <f>'№8 ведом.'!G51</f>
        <v>230.20000000000002</v>
      </c>
    </row>
    <row r="26" spans="1:6" s="106" customFormat="1" ht="67.2">
      <c r="A26" s="102">
        <v>7</v>
      </c>
      <c r="B26" s="102"/>
      <c r="C26" s="102"/>
      <c r="D26" s="7" t="s">
        <v>177</v>
      </c>
      <c r="E26" s="95">
        <f>E27</f>
        <v>2140.5</v>
      </c>
      <c r="F26" s="95">
        <f>F27</f>
        <v>2140.5</v>
      </c>
    </row>
    <row r="27" spans="1:6" s="106" customFormat="1" ht="33.6">
      <c r="A27" s="102"/>
      <c r="B27" s="25" t="s">
        <v>108</v>
      </c>
      <c r="C27" s="8" t="s">
        <v>178</v>
      </c>
      <c r="D27" s="9" t="s">
        <v>452</v>
      </c>
      <c r="E27" s="61">
        <f>'№8 ведом.'!F282</f>
        <v>2140.5</v>
      </c>
      <c r="F27" s="61">
        <f>'№8 ведом.'!G282</f>
        <v>2140.5</v>
      </c>
    </row>
    <row r="28" spans="1:6" ht="67.2">
      <c r="A28" s="102">
        <v>8</v>
      </c>
      <c r="B28" s="3"/>
      <c r="C28" s="8"/>
      <c r="D28" s="7" t="s">
        <v>338</v>
      </c>
      <c r="E28" s="95">
        <f>E29</f>
        <v>4281</v>
      </c>
      <c r="F28" s="95">
        <f>F29</f>
        <v>4280.7</v>
      </c>
    </row>
    <row r="29" spans="1:6" ht="33.6">
      <c r="A29" s="3"/>
      <c r="B29" s="3">
        <v>1004</v>
      </c>
      <c r="C29" s="8" t="s">
        <v>300</v>
      </c>
      <c r="D29" s="9" t="s">
        <v>452</v>
      </c>
      <c r="E29" s="61">
        <f>'№8 ведом.'!F284</f>
        <v>4281</v>
      </c>
      <c r="F29" s="61">
        <f>'№8 ведом.'!G284</f>
        <v>4280.7</v>
      </c>
    </row>
    <row r="30" spans="1:6" ht="84">
      <c r="A30" s="102">
        <v>9</v>
      </c>
      <c r="B30" s="3"/>
      <c r="C30" s="8"/>
      <c r="D30" s="7" t="s">
        <v>326</v>
      </c>
      <c r="E30" s="95">
        <f>E31</f>
        <v>5673.8</v>
      </c>
      <c r="F30" s="95">
        <f>F31</f>
        <v>5654.1</v>
      </c>
    </row>
    <row r="31" spans="1:6" ht="12.75">
      <c r="A31" s="3"/>
      <c r="B31" s="25" t="s">
        <v>363</v>
      </c>
      <c r="C31" s="8" t="s">
        <v>324</v>
      </c>
      <c r="D31" s="9" t="s">
        <v>78</v>
      </c>
      <c r="E31" s="5">
        <f>'№8 ведом.'!F109</f>
        <v>5673.8</v>
      </c>
      <c r="F31" s="177">
        <f>'№8 ведом.'!G109</f>
        <v>5654.1</v>
      </c>
    </row>
    <row r="32" spans="1:6" ht="67.2">
      <c r="A32" s="102">
        <v>10</v>
      </c>
      <c r="B32" s="3"/>
      <c r="C32" s="8"/>
      <c r="D32" s="7" t="s">
        <v>327</v>
      </c>
      <c r="E32" s="95">
        <f>E33</f>
        <v>6640.599999999999</v>
      </c>
      <c r="F32" s="95">
        <f>F33</f>
        <v>6617.6</v>
      </c>
    </row>
    <row r="33" spans="1:6" ht="12.75">
      <c r="A33" s="3"/>
      <c r="B33" s="25" t="s">
        <v>363</v>
      </c>
      <c r="C33" s="8" t="s">
        <v>325</v>
      </c>
      <c r="D33" s="9" t="s">
        <v>78</v>
      </c>
      <c r="E33" s="5">
        <f>'№8 ведом.'!F110</f>
        <v>6640.599999999999</v>
      </c>
      <c r="F33" s="177">
        <f>'№8 ведом.'!G110</f>
        <v>6617.6</v>
      </c>
    </row>
    <row r="34" spans="1:6" ht="151.2">
      <c r="A34" s="102">
        <v>11</v>
      </c>
      <c r="B34" s="3"/>
      <c r="C34" s="8"/>
      <c r="D34" s="7" t="s">
        <v>392</v>
      </c>
      <c r="E34" s="95">
        <f>E35</f>
        <v>196</v>
      </c>
      <c r="F34" s="95">
        <f>F35</f>
        <v>196</v>
      </c>
    </row>
    <row r="35" spans="1:6" ht="33.6">
      <c r="A35" s="3"/>
      <c r="B35" s="99">
        <v>1003</v>
      </c>
      <c r="C35" s="8" t="s">
        <v>391</v>
      </c>
      <c r="D35" s="9" t="s">
        <v>371</v>
      </c>
      <c r="E35" s="5">
        <f>'№8 ведом.'!F452</f>
        <v>196</v>
      </c>
      <c r="F35" s="177">
        <f>'№8 ведом.'!G452</f>
        <v>196</v>
      </c>
    </row>
    <row r="36" spans="1:6" ht="50.4">
      <c r="A36" s="102">
        <v>12</v>
      </c>
      <c r="B36" s="3"/>
      <c r="C36" s="8"/>
      <c r="D36" s="7" t="s">
        <v>394</v>
      </c>
      <c r="E36" s="95">
        <f>E37</f>
        <v>1189.6000000000001</v>
      </c>
      <c r="F36" s="95">
        <f>F37</f>
        <v>1087.3</v>
      </c>
    </row>
    <row r="37" spans="1:6" ht="33.6">
      <c r="A37" s="3"/>
      <c r="B37" s="3">
        <v>1003</v>
      </c>
      <c r="C37" s="8" t="s">
        <v>393</v>
      </c>
      <c r="D37" s="9" t="s">
        <v>367</v>
      </c>
      <c r="E37" s="5">
        <f>'№8 ведом.'!F342</f>
        <v>1189.6000000000001</v>
      </c>
      <c r="F37" s="177">
        <f>'№8 ведом.'!G342</f>
        <v>1087.3</v>
      </c>
    </row>
    <row r="38" spans="1:6" ht="50.4">
      <c r="A38" s="102">
        <v>13</v>
      </c>
      <c r="B38" s="3"/>
      <c r="C38" s="8"/>
      <c r="D38" s="7" t="s">
        <v>412</v>
      </c>
      <c r="E38" s="95">
        <f>E39</f>
        <v>1617.1</v>
      </c>
      <c r="F38" s="95">
        <f>F39</f>
        <v>1299</v>
      </c>
    </row>
    <row r="39" spans="1:6" ht="33.6">
      <c r="A39" s="3"/>
      <c r="B39" s="3">
        <v>1003</v>
      </c>
      <c r="C39" s="8" t="s">
        <v>411</v>
      </c>
      <c r="D39" s="9" t="s">
        <v>367</v>
      </c>
      <c r="E39" s="5">
        <f>'№8 ведом.'!F345</f>
        <v>1617.1</v>
      </c>
      <c r="F39" s="177">
        <f>'№8 ведом.'!G345</f>
        <v>1299</v>
      </c>
    </row>
    <row r="40" spans="1:6" ht="33.6">
      <c r="A40" s="102">
        <v>14</v>
      </c>
      <c r="B40" s="3"/>
      <c r="C40" s="8"/>
      <c r="D40" s="7" t="s">
        <v>453</v>
      </c>
      <c r="E40" s="95">
        <f>E41</f>
        <v>595.7</v>
      </c>
      <c r="F40" s="95">
        <f>F41</f>
        <v>595.7</v>
      </c>
    </row>
    <row r="41" spans="1:6" ht="12.75">
      <c r="A41" s="3"/>
      <c r="B41" s="8" t="s">
        <v>31</v>
      </c>
      <c r="C41" s="8" t="s">
        <v>403</v>
      </c>
      <c r="D41" s="9" t="s">
        <v>78</v>
      </c>
      <c r="E41" s="5">
        <f>'№8 ведом.'!F121</f>
        <v>595.7</v>
      </c>
      <c r="F41" s="177">
        <f>'№8 ведом.'!G121</f>
        <v>595.7</v>
      </c>
    </row>
    <row r="42" spans="1:6" ht="50.4">
      <c r="A42" s="102">
        <v>15</v>
      </c>
      <c r="B42" s="8"/>
      <c r="C42" s="8"/>
      <c r="D42" s="7" t="s">
        <v>454</v>
      </c>
      <c r="E42" s="95">
        <f>E43</f>
        <v>8705</v>
      </c>
      <c r="F42" s="95">
        <f>F43</f>
        <v>8705</v>
      </c>
    </row>
    <row r="43" spans="1:6" ht="12.75">
      <c r="A43" s="3"/>
      <c r="B43" s="8" t="s">
        <v>365</v>
      </c>
      <c r="C43" s="11" t="s">
        <v>401</v>
      </c>
      <c r="D43" s="9" t="s">
        <v>78</v>
      </c>
      <c r="E43" s="177">
        <f>'№8 ведом.'!F87</f>
        <v>8705</v>
      </c>
      <c r="F43" s="177">
        <f>'№8 ведом.'!G87</f>
        <v>8705</v>
      </c>
    </row>
    <row r="44" spans="1:6" ht="50.4">
      <c r="A44" s="102">
        <v>16</v>
      </c>
      <c r="B44" s="3"/>
      <c r="C44" s="8"/>
      <c r="D44" s="7" t="s">
        <v>455</v>
      </c>
      <c r="E44" s="95">
        <f>E45</f>
        <v>4234</v>
      </c>
      <c r="F44" s="95">
        <f>F45</f>
        <v>4234</v>
      </c>
    </row>
    <row r="45" spans="1:6" ht="33.6">
      <c r="A45" s="3"/>
      <c r="B45" s="8" t="s">
        <v>34</v>
      </c>
      <c r="C45" s="8" t="s">
        <v>399</v>
      </c>
      <c r="D45" s="9" t="s">
        <v>371</v>
      </c>
      <c r="E45" s="177">
        <f>'№8 ведом.'!F414</f>
        <v>4234</v>
      </c>
      <c r="F45" s="177">
        <f>'№8 ведом.'!G414</f>
        <v>4234</v>
      </c>
    </row>
    <row r="46" spans="1:6" ht="50.4">
      <c r="A46" s="102">
        <v>17</v>
      </c>
      <c r="B46" s="3"/>
      <c r="C46" s="8"/>
      <c r="D46" s="7" t="s">
        <v>456</v>
      </c>
      <c r="E46" s="95">
        <f>E47</f>
        <v>271</v>
      </c>
      <c r="F46" s="95">
        <f>F47</f>
        <v>271</v>
      </c>
    </row>
    <row r="47" spans="1:6" ht="33.6">
      <c r="A47" s="3"/>
      <c r="B47" s="8" t="s">
        <v>43</v>
      </c>
      <c r="C47" s="8" t="s">
        <v>420</v>
      </c>
      <c r="D47" s="9" t="s">
        <v>50</v>
      </c>
      <c r="E47" s="21">
        <f>'№8 ведом.'!F240</f>
        <v>271</v>
      </c>
      <c r="F47" s="21">
        <f>'№8 ведом.'!G240</f>
        <v>271</v>
      </c>
    </row>
    <row r="48" spans="1:6" ht="12.75">
      <c r="A48" s="102">
        <v>18</v>
      </c>
      <c r="B48" s="3"/>
      <c r="C48" s="8"/>
      <c r="D48" s="7" t="s">
        <v>457</v>
      </c>
      <c r="E48" s="95">
        <f>E49+E50</f>
        <v>2890.8</v>
      </c>
      <c r="F48" s="95">
        <f>F49+F50</f>
        <v>2883.1000000000004</v>
      </c>
    </row>
    <row r="49" spans="1:6" ht="33.6">
      <c r="A49" s="3"/>
      <c r="B49" s="8" t="s">
        <v>20</v>
      </c>
      <c r="C49" s="8" t="s">
        <v>406</v>
      </c>
      <c r="D49" s="9" t="s">
        <v>371</v>
      </c>
      <c r="E49" s="21">
        <f>'№8 ведом.'!F429</f>
        <v>2685.5</v>
      </c>
      <c r="F49" s="21">
        <f>'№8 ведом.'!G429</f>
        <v>2677.8</v>
      </c>
    </row>
    <row r="50" spans="1:6" ht="33.6">
      <c r="A50" s="3"/>
      <c r="B50" s="8" t="s">
        <v>20</v>
      </c>
      <c r="C50" s="8" t="s">
        <v>406</v>
      </c>
      <c r="D50" s="9" t="s">
        <v>367</v>
      </c>
      <c r="E50" s="21">
        <f>'№8 ведом.'!F315</f>
        <v>205.3</v>
      </c>
      <c r="F50" s="21">
        <f>'№8 ведом.'!G315</f>
        <v>205.3</v>
      </c>
    </row>
    <row r="51" spans="1:6" ht="33.6">
      <c r="A51" s="102">
        <v>19</v>
      </c>
      <c r="B51" s="3"/>
      <c r="C51" s="8"/>
      <c r="D51" s="7" t="s">
        <v>458</v>
      </c>
      <c r="E51" s="95">
        <f>E52</f>
        <v>11774.2</v>
      </c>
      <c r="F51" s="95">
        <f>F52</f>
        <v>11774.2</v>
      </c>
    </row>
    <row r="52" spans="1:6" ht="12.75">
      <c r="A52" s="3"/>
      <c r="B52" s="8" t="s">
        <v>365</v>
      </c>
      <c r="C52" s="11" t="s">
        <v>413</v>
      </c>
      <c r="D52" s="9" t="s">
        <v>78</v>
      </c>
      <c r="E52" s="177">
        <f>'№8 ведом.'!F85</f>
        <v>11774.2</v>
      </c>
      <c r="F52" s="177">
        <f>'№8 ведом.'!G85</f>
        <v>11774.2</v>
      </c>
    </row>
    <row r="53" spans="1:6" ht="12.75">
      <c r="A53" s="102">
        <v>20</v>
      </c>
      <c r="B53" s="3"/>
      <c r="C53" s="8"/>
      <c r="D53" s="7" t="s">
        <v>459</v>
      </c>
      <c r="E53" s="95">
        <f>E54</f>
        <v>1882.3</v>
      </c>
      <c r="F53" s="95">
        <f>F54</f>
        <v>0</v>
      </c>
    </row>
    <row r="54" spans="1:6" ht="12.75">
      <c r="A54" s="3"/>
      <c r="B54" s="8" t="s">
        <v>31</v>
      </c>
      <c r="C54" s="8" t="s">
        <v>414</v>
      </c>
      <c r="D54" s="9" t="s">
        <v>78</v>
      </c>
      <c r="E54" s="177">
        <f>'№8 ведом.'!F124</f>
        <v>1882.3</v>
      </c>
      <c r="F54" s="177">
        <f>'№8 ведом.'!G124</f>
        <v>0</v>
      </c>
    </row>
    <row r="55" spans="1:6" ht="33.6">
      <c r="A55" s="102">
        <v>21</v>
      </c>
      <c r="B55" s="3"/>
      <c r="C55" s="8"/>
      <c r="D55" s="7" t="s">
        <v>460</v>
      </c>
      <c r="E55" s="95">
        <f>E56</f>
        <v>521.6</v>
      </c>
      <c r="F55" s="95">
        <f>F56</f>
        <v>521.6</v>
      </c>
    </row>
    <row r="56" spans="1:6" ht="12.75">
      <c r="A56" s="3"/>
      <c r="B56" s="3">
        <v>1204</v>
      </c>
      <c r="C56" s="8" t="s">
        <v>417</v>
      </c>
      <c r="D56" s="9" t="s">
        <v>78</v>
      </c>
      <c r="E56" s="5">
        <f>'№8 ведом.'!F222</f>
        <v>521.6</v>
      </c>
      <c r="F56" s="177">
        <f>'№8 ведом.'!G222</f>
        <v>521.6</v>
      </c>
    </row>
    <row r="57" spans="1:6" ht="67.2">
      <c r="A57" s="102">
        <v>22</v>
      </c>
      <c r="B57" s="3"/>
      <c r="C57" s="8"/>
      <c r="D57" s="7" t="s">
        <v>461</v>
      </c>
      <c r="E57" s="95">
        <f>E58+E59</f>
        <v>4369.4</v>
      </c>
      <c r="F57" s="95">
        <f>F58+F59</f>
        <v>4369.4</v>
      </c>
    </row>
    <row r="58" spans="1:6" ht="33.6">
      <c r="A58" s="3"/>
      <c r="B58" s="11" t="s">
        <v>33</v>
      </c>
      <c r="C58" s="8" t="s">
        <v>421</v>
      </c>
      <c r="D58" s="9" t="s">
        <v>371</v>
      </c>
      <c r="E58" s="5">
        <f>'№8 ведом.'!F384</f>
        <v>601.4</v>
      </c>
      <c r="F58" s="177">
        <f>'№8 ведом.'!G384</f>
        <v>601.4</v>
      </c>
    </row>
    <row r="59" spans="1:6" ht="33.6">
      <c r="A59" s="3"/>
      <c r="B59" s="11" t="s">
        <v>34</v>
      </c>
      <c r="C59" s="8" t="s">
        <v>421</v>
      </c>
      <c r="D59" s="9" t="s">
        <v>371</v>
      </c>
      <c r="E59" s="177">
        <f>'№8 ведом.'!F412</f>
        <v>3768</v>
      </c>
      <c r="F59" s="177">
        <f>'№8 ведом.'!G412</f>
        <v>3768</v>
      </c>
    </row>
    <row r="60" spans="1:6" ht="67.2">
      <c r="A60" s="102">
        <v>23</v>
      </c>
      <c r="B60" s="3"/>
      <c r="C60" s="8"/>
      <c r="D60" s="7" t="s">
        <v>462</v>
      </c>
      <c r="E60" s="95">
        <f>E61</f>
        <v>742.3</v>
      </c>
      <c r="F60" s="95">
        <f>F61</f>
        <v>742.3</v>
      </c>
    </row>
    <row r="61" spans="1:6" ht="33.6">
      <c r="A61" s="3"/>
      <c r="B61" s="11" t="s">
        <v>34</v>
      </c>
      <c r="C61" s="8" t="s">
        <v>423</v>
      </c>
      <c r="D61" s="9" t="s">
        <v>371</v>
      </c>
      <c r="E61" s="5">
        <f>'№8 ведом.'!F416</f>
        <v>742.3</v>
      </c>
      <c r="F61" s="177">
        <f>'№8 ведом.'!G416</f>
        <v>742.3</v>
      </c>
    </row>
    <row r="62" spans="1:6" ht="50.4">
      <c r="A62" s="102">
        <v>24</v>
      </c>
      <c r="B62" s="3"/>
      <c r="C62" s="3"/>
      <c r="D62" s="7" t="s">
        <v>429</v>
      </c>
      <c r="E62" s="95">
        <f>E63+E64+E65</f>
        <v>188.2</v>
      </c>
      <c r="F62" s="95">
        <f>F63+F64+F65</f>
        <v>188.2</v>
      </c>
    </row>
    <row r="63" spans="1:6" ht="12.75">
      <c r="A63" s="3"/>
      <c r="B63" s="11" t="s">
        <v>24</v>
      </c>
      <c r="C63" s="25">
        <v>9977888</v>
      </c>
      <c r="D63" s="9" t="s">
        <v>78</v>
      </c>
      <c r="E63" s="177">
        <f>'№8 ведом.'!F182</f>
        <v>63.2</v>
      </c>
      <c r="F63" s="177">
        <f>'№8 ведом.'!G182</f>
        <v>63.2</v>
      </c>
    </row>
    <row r="64" spans="1:6" ht="33.6">
      <c r="A64" s="3"/>
      <c r="B64" s="11" t="s">
        <v>148</v>
      </c>
      <c r="C64" s="25">
        <v>9977888</v>
      </c>
      <c r="D64" s="56" t="s">
        <v>367</v>
      </c>
      <c r="E64" s="177">
        <f>'№8 ведом.'!F359</f>
        <v>50</v>
      </c>
      <c r="F64" s="177">
        <f>'№8 ведом.'!G359</f>
        <v>50</v>
      </c>
    </row>
    <row r="65" spans="1:6" ht="33.6">
      <c r="A65" s="3"/>
      <c r="B65" s="11" t="s">
        <v>33</v>
      </c>
      <c r="C65" s="25">
        <v>9977888</v>
      </c>
      <c r="D65" s="23" t="s">
        <v>371</v>
      </c>
      <c r="E65" s="177">
        <f>'№8 ведом.'!F389</f>
        <v>75</v>
      </c>
      <c r="F65" s="177">
        <f>'№8 ведом.'!G389</f>
        <v>75</v>
      </c>
    </row>
    <row r="66" spans="1:6" ht="33.6">
      <c r="A66" s="102">
        <v>25</v>
      </c>
      <c r="B66" s="3"/>
      <c r="C66" s="3"/>
      <c r="D66" s="7" t="s">
        <v>463</v>
      </c>
      <c r="E66" s="95">
        <f>E67</f>
        <v>45.1</v>
      </c>
      <c r="F66" s="95">
        <f>F67</f>
        <v>45.1</v>
      </c>
    </row>
    <row r="67" spans="1:6" ht="12.75">
      <c r="A67" s="3"/>
      <c r="B67" s="25" t="s">
        <v>24</v>
      </c>
      <c r="C67" s="8" t="s">
        <v>431</v>
      </c>
      <c r="D67" s="9" t="s">
        <v>78</v>
      </c>
      <c r="E67" s="5">
        <f>'№8 ведом.'!F175</f>
        <v>45.1</v>
      </c>
      <c r="F67" s="177">
        <f>'№8 ведом.'!G175</f>
        <v>45.1</v>
      </c>
    </row>
    <row r="68" spans="1:6" ht="67.2">
      <c r="A68" s="102">
        <v>26</v>
      </c>
      <c r="B68" s="3"/>
      <c r="C68" s="3"/>
      <c r="D68" s="7" t="s">
        <v>464</v>
      </c>
      <c r="E68" s="95">
        <f>E69</f>
        <v>167.1</v>
      </c>
      <c r="F68" s="95">
        <f>F69</f>
        <v>167.1</v>
      </c>
    </row>
    <row r="69" spans="1:6" ht="12.75">
      <c r="A69" s="3"/>
      <c r="B69" s="25" t="s">
        <v>24</v>
      </c>
      <c r="C69" s="8" t="s">
        <v>433</v>
      </c>
      <c r="D69" s="9" t="s">
        <v>78</v>
      </c>
      <c r="E69" s="5">
        <f>'№8 ведом.'!F177</f>
        <v>167.1</v>
      </c>
      <c r="F69" s="177">
        <f>'№8 ведом.'!G177</f>
        <v>167.1</v>
      </c>
    </row>
    <row r="70" spans="1:6" ht="33.6">
      <c r="A70" s="102">
        <v>27</v>
      </c>
      <c r="B70" s="3"/>
      <c r="C70" s="3"/>
      <c r="D70" s="7" t="s">
        <v>465</v>
      </c>
      <c r="E70" s="95">
        <f>E71</f>
        <v>194.5</v>
      </c>
      <c r="F70" s="95">
        <f>F71</f>
        <v>194.5</v>
      </c>
    </row>
    <row r="71" spans="1:6" ht="33.6">
      <c r="A71" s="3"/>
      <c r="B71" s="25" t="s">
        <v>33</v>
      </c>
      <c r="C71" s="8" t="s">
        <v>436</v>
      </c>
      <c r="D71" s="9" t="s">
        <v>371</v>
      </c>
      <c r="E71" s="5">
        <f>'№8 ведом.'!F382</f>
        <v>194.5</v>
      </c>
      <c r="F71" s="177">
        <f>'№8 ведом.'!G382</f>
        <v>194.5</v>
      </c>
    </row>
    <row r="72" spans="1:6" ht="84">
      <c r="A72" s="102">
        <v>28</v>
      </c>
      <c r="B72" s="3"/>
      <c r="C72" s="3"/>
      <c r="D72" s="7" t="s">
        <v>441</v>
      </c>
      <c r="E72" s="95">
        <f>E73</f>
        <v>6051.4</v>
      </c>
      <c r="F72" s="95">
        <f>F73</f>
        <v>0</v>
      </c>
    </row>
    <row r="73" spans="1:6" ht="33.6">
      <c r="A73" s="3"/>
      <c r="B73" s="25" t="s">
        <v>43</v>
      </c>
      <c r="C73" s="8" t="s">
        <v>440</v>
      </c>
      <c r="D73" s="9" t="s">
        <v>452</v>
      </c>
      <c r="E73" s="5">
        <f>'№8 ведом.'!F266</f>
        <v>6051.4</v>
      </c>
      <c r="F73" s="177">
        <f>'№8 ведом.'!G266</f>
        <v>0</v>
      </c>
    </row>
    <row r="74" spans="1:6" ht="50.4">
      <c r="A74" s="102">
        <v>29</v>
      </c>
      <c r="B74" s="3"/>
      <c r="C74" s="3"/>
      <c r="D74" s="7" t="s">
        <v>466</v>
      </c>
      <c r="E74" s="95">
        <f>E75</f>
        <v>12216.6</v>
      </c>
      <c r="F74" s="95">
        <f>F75</f>
        <v>12216.6</v>
      </c>
    </row>
    <row r="75" spans="1:6" ht="33.6">
      <c r="A75" s="3"/>
      <c r="B75" s="25" t="s">
        <v>33</v>
      </c>
      <c r="C75" s="8" t="s">
        <v>83</v>
      </c>
      <c r="D75" s="9" t="s">
        <v>371</v>
      </c>
      <c r="E75" s="5">
        <v>12216.6</v>
      </c>
      <c r="F75" s="5">
        <v>12216.6</v>
      </c>
    </row>
    <row r="76" spans="1:6" ht="50.4">
      <c r="A76" s="102">
        <v>30</v>
      </c>
      <c r="B76" s="3"/>
      <c r="C76" s="3"/>
      <c r="D76" s="7" t="s">
        <v>489</v>
      </c>
      <c r="E76" s="95">
        <f>E77</f>
        <v>1067.4</v>
      </c>
      <c r="F76" s="95">
        <f>F77</f>
        <v>1067.4</v>
      </c>
    </row>
    <row r="77" spans="1:6" ht="33.6">
      <c r="A77" s="3"/>
      <c r="B77" s="25" t="s">
        <v>34</v>
      </c>
      <c r="C77" s="8" t="s">
        <v>490</v>
      </c>
      <c r="D77" s="9" t="s">
        <v>371</v>
      </c>
      <c r="E77" s="5">
        <f>'№8 ведом.'!F411</f>
        <v>1067.4</v>
      </c>
      <c r="F77" s="177">
        <f>'№8 ведом.'!G411</f>
        <v>1067.4</v>
      </c>
    </row>
    <row r="78" spans="1:6" ht="50.4">
      <c r="A78" s="102">
        <v>31</v>
      </c>
      <c r="B78" s="25"/>
      <c r="C78" s="8"/>
      <c r="D78" s="7" t="s">
        <v>491</v>
      </c>
      <c r="E78" s="95">
        <f>E79</f>
        <v>457.4</v>
      </c>
      <c r="F78" s="95">
        <f>F79</f>
        <v>457.4</v>
      </c>
    </row>
    <row r="79" spans="1:6" ht="33.6">
      <c r="A79" s="3"/>
      <c r="B79" s="25" t="s">
        <v>34</v>
      </c>
      <c r="C79" s="8" t="s">
        <v>492</v>
      </c>
      <c r="D79" s="9" t="s">
        <v>371</v>
      </c>
      <c r="E79" s="5">
        <f>'№8 ведом.'!F419</f>
        <v>457.4</v>
      </c>
      <c r="F79" s="177">
        <f>'№8 ведом.'!G419</f>
        <v>457.4</v>
      </c>
    </row>
    <row r="80" spans="1:6" ht="84">
      <c r="A80" s="102">
        <v>32</v>
      </c>
      <c r="B80" s="25"/>
      <c r="C80" s="8"/>
      <c r="D80" s="7" t="s">
        <v>495</v>
      </c>
      <c r="E80" s="95">
        <f>E81</f>
        <v>927.4</v>
      </c>
      <c r="F80" s="95">
        <f>F81</f>
        <v>927.4</v>
      </c>
    </row>
    <row r="81" spans="1:6" ht="33.6">
      <c r="A81" s="3"/>
      <c r="B81" s="25" t="s">
        <v>34</v>
      </c>
      <c r="C81" s="8" t="s">
        <v>496</v>
      </c>
      <c r="D81" s="9" t="s">
        <v>371</v>
      </c>
      <c r="E81" s="5">
        <f>'№8 ведом.'!F421</f>
        <v>927.4</v>
      </c>
      <c r="F81" s="177">
        <f>'№8 ведом.'!G421</f>
        <v>927.4</v>
      </c>
    </row>
    <row r="82" spans="1:6" ht="67.2">
      <c r="A82" s="102">
        <v>33</v>
      </c>
      <c r="B82" s="25"/>
      <c r="C82" s="8"/>
      <c r="D82" s="7" t="s">
        <v>503</v>
      </c>
      <c r="E82" s="95">
        <f>E83</f>
        <v>250</v>
      </c>
      <c r="F82" s="95">
        <f>F83</f>
        <v>250</v>
      </c>
    </row>
    <row r="83" spans="1:6" ht="12.75">
      <c r="A83" s="3"/>
      <c r="B83" s="3">
        <v>1204</v>
      </c>
      <c r="C83" s="11" t="s">
        <v>504</v>
      </c>
      <c r="D83" s="9" t="s">
        <v>78</v>
      </c>
      <c r="E83" s="177">
        <f>'№8 ведом.'!F225</f>
        <v>250</v>
      </c>
      <c r="F83" s="177">
        <f>'№8 ведом.'!G225</f>
        <v>250</v>
      </c>
    </row>
    <row r="84" spans="1:6" ht="84">
      <c r="A84" s="102">
        <v>34</v>
      </c>
      <c r="B84" s="25"/>
      <c r="C84" s="8"/>
      <c r="D84" s="7" t="s">
        <v>508</v>
      </c>
      <c r="E84" s="95">
        <f>E85</f>
        <v>254.5</v>
      </c>
      <c r="F84" s="95">
        <f>F85</f>
        <v>254.5</v>
      </c>
    </row>
    <row r="85" spans="1:6" ht="12.75">
      <c r="A85" s="3"/>
      <c r="B85" s="8" t="s">
        <v>24</v>
      </c>
      <c r="C85" s="11" t="s">
        <v>506</v>
      </c>
      <c r="D85" s="9" t="s">
        <v>78</v>
      </c>
      <c r="E85" s="177">
        <f>'№8 ведом.'!F174</f>
        <v>254.5</v>
      </c>
      <c r="F85" s="177">
        <f>'№8 ведом.'!G174</f>
        <v>254.5</v>
      </c>
    </row>
  </sheetData>
  <mergeCells count="4">
    <mergeCell ref="D1:F1"/>
    <mergeCell ref="D2:F2"/>
    <mergeCell ref="D3:F3"/>
    <mergeCell ref="A5:F5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E11" sqref="E11"/>
    </sheetView>
  </sheetViews>
  <sheetFormatPr defaultColWidth="9.125" defaultRowHeight="12.75"/>
  <cols>
    <col min="1" max="1" width="51.50390625" style="133" customWidth="1"/>
    <col min="2" max="2" width="16.375" style="134" customWidth="1"/>
    <col min="3" max="3" width="12.50390625" style="134" customWidth="1"/>
    <col min="4" max="4" width="9.75390625" style="134" customWidth="1"/>
    <col min="5" max="5" width="32.00390625" style="133" customWidth="1"/>
    <col min="6" max="6" width="7.375" style="133" customWidth="1"/>
    <col min="7" max="7" width="10.50390625" style="133" customWidth="1"/>
    <col min="8" max="8" width="7.125" style="133" customWidth="1"/>
    <col min="9" max="9" width="14.125" style="133" customWidth="1"/>
    <col min="10" max="10" width="13.625" style="133" customWidth="1"/>
    <col min="11" max="254" width="9.125" style="133" customWidth="1"/>
    <col min="255" max="255" width="51.50390625" style="133" customWidth="1"/>
    <col min="256" max="256" width="16.375" style="133" customWidth="1"/>
    <col min="257" max="257" width="12.50390625" style="133" customWidth="1"/>
    <col min="258" max="258" width="11.875" style="133" customWidth="1"/>
    <col min="259" max="259" width="32.00390625" style="133" customWidth="1"/>
    <col min="260" max="260" width="9.375" style="133" bestFit="1" customWidth="1"/>
    <col min="261" max="261" width="14.00390625" style="133" customWidth="1"/>
    <col min="262" max="262" width="9.375" style="133" bestFit="1" customWidth="1"/>
    <col min="263" max="265" width="13.125" style="133" bestFit="1" customWidth="1"/>
    <col min="266" max="510" width="9.125" style="133" customWidth="1"/>
    <col min="511" max="511" width="51.50390625" style="133" customWidth="1"/>
    <col min="512" max="512" width="16.375" style="133" customWidth="1"/>
    <col min="513" max="513" width="12.50390625" style="133" customWidth="1"/>
    <col min="514" max="514" width="11.875" style="133" customWidth="1"/>
    <col min="515" max="515" width="32.00390625" style="133" customWidth="1"/>
    <col min="516" max="516" width="9.375" style="133" bestFit="1" customWidth="1"/>
    <col min="517" max="517" width="14.00390625" style="133" customWidth="1"/>
    <col min="518" max="518" width="9.375" style="133" bestFit="1" customWidth="1"/>
    <col min="519" max="521" width="13.125" style="133" bestFit="1" customWidth="1"/>
    <col min="522" max="766" width="9.125" style="133" customWidth="1"/>
    <col min="767" max="767" width="51.50390625" style="133" customWidth="1"/>
    <col min="768" max="768" width="16.375" style="133" customWidth="1"/>
    <col min="769" max="769" width="12.50390625" style="133" customWidth="1"/>
    <col min="770" max="770" width="11.875" style="133" customWidth="1"/>
    <col min="771" max="771" width="32.00390625" style="133" customWidth="1"/>
    <col min="772" max="772" width="9.375" style="133" bestFit="1" customWidth="1"/>
    <col min="773" max="773" width="14.00390625" style="133" customWidth="1"/>
    <col min="774" max="774" width="9.375" style="133" bestFit="1" customWidth="1"/>
    <col min="775" max="777" width="13.125" style="133" bestFit="1" customWidth="1"/>
    <col min="778" max="1022" width="9.125" style="133" customWidth="1"/>
    <col min="1023" max="1023" width="51.50390625" style="133" customWidth="1"/>
    <col min="1024" max="1024" width="16.375" style="133" customWidth="1"/>
    <col min="1025" max="1025" width="12.50390625" style="133" customWidth="1"/>
    <col min="1026" max="1026" width="11.875" style="133" customWidth="1"/>
    <col min="1027" max="1027" width="32.00390625" style="133" customWidth="1"/>
    <col min="1028" max="1028" width="9.375" style="133" bestFit="1" customWidth="1"/>
    <col min="1029" max="1029" width="14.00390625" style="133" customWidth="1"/>
    <col min="1030" max="1030" width="9.375" style="133" bestFit="1" customWidth="1"/>
    <col min="1031" max="1033" width="13.125" style="133" bestFit="1" customWidth="1"/>
    <col min="1034" max="1278" width="9.125" style="133" customWidth="1"/>
    <col min="1279" max="1279" width="51.50390625" style="133" customWidth="1"/>
    <col min="1280" max="1280" width="16.375" style="133" customWidth="1"/>
    <col min="1281" max="1281" width="12.50390625" style="133" customWidth="1"/>
    <col min="1282" max="1282" width="11.875" style="133" customWidth="1"/>
    <col min="1283" max="1283" width="32.00390625" style="133" customWidth="1"/>
    <col min="1284" max="1284" width="9.375" style="133" bestFit="1" customWidth="1"/>
    <col min="1285" max="1285" width="14.00390625" style="133" customWidth="1"/>
    <col min="1286" max="1286" width="9.375" style="133" bestFit="1" customWidth="1"/>
    <col min="1287" max="1289" width="13.125" style="133" bestFit="1" customWidth="1"/>
    <col min="1290" max="1534" width="9.125" style="133" customWidth="1"/>
    <col min="1535" max="1535" width="51.50390625" style="133" customWidth="1"/>
    <col min="1536" max="1536" width="16.375" style="133" customWidth="1"/>
    <col min="1537" max="1537" width="12.50390625" style="133" customWidth="1"/>
    <col min="1538" max="1538" width="11.875" style="133" customWidth="1"/>
    <col min="1539" max="1539" width="32.00390625" style="133" customWidth="1"/>
    <col min="1540" max="1540" width="9.375" style="133" bestFit="1" customWidth="1"/>
    <col min="1541" max="1541" width="14.00390625" style="133" customWidth="1"/>
    <col min="1542" max="1542" width="9.375" style="133" bestFit="1" customWidth="1"/>
    <col min="1543" max="1545" width="13.125" style="133" bestFit="1" customWidth="1"/>
    <col min="1546" max="1790" width="9.125" style="133" customWidth="1"/>
    <col min="1791" max="1791" width="51.50390625" style="133" customWidth="1"/>
    <col min="1792" max="1792" width="16.375" style="133" customWidth="1"/>
    <col min="1793" max="1793" width="12.50390625" style="133" customWidth="1"/>
    <col min="1794" max="1794" width="11.875" style="133" customWidth="1"/>
    <col min="1795" max="1795" width="32.00390625" style="133" customWidth="1"/>
    <col min="1796" max="1796" width="9.375" style="133" bestFit="1" customWidth="1"/>
    <col min="1797" max="1797" width="14.00390625" style="133" customWidth="1"/>
    <col min="1798" max="1798" width="9.375" style="133" bestFit="1" customWidth="1"/>
    <col min="1799" max="1801" width="13.125" style="133" bestFit="1" customWidth="1"/>
    <col min="1802" max="2046" width="9.125" style="133" customWidth="1"/>
    <col min="2047" max="2047" width="51.50390625" style="133" customWidth="1"/>
    <col min="2048" max="2048" width="16.375" style="133" customWidth="1"/>
    <col min="2049" max="2049" width="12.50390625" style="133" customWidth="1"/>
    <col min="2050" max="2050" width="11.875" style="133" customWidth="1"/>
    <col min="2051" max="2051" width="32.00390625" style="133" customWidth="1"/>
    <col min="2052" max="2052" width="9.375" style="133" bestFit="1" customWidth="1"/>
    <col min="2053" max="2053" width="14.00390625" style="133" customWidth="1"/>
    <col min="2054" max="2054" width="9.375" style="133" bestFit="1" customWidth="1"/>
    <col min="2055" max="2057" width="13.125" style="133" bestFit="1" customWidth="1"/>
    <col min="2058" max="2302" width="9.125" style="133" customWidth="1"/>
    <col min="2303" max="2303" width="51.50390625" style="133" customWidth="1"/>
    <col min="2304" max="2304" width="16.375" style="133" customWidth="1"/>
    <col min="2305" max="2305" width="12.50390625" style="133" customWidth="1"/>
    <col min="2306" max="2306" width="11.875" style="133" customWidth="1"/>
    <col min="2307" max="2307" width="32.00390625" style="133" customWidth="1"/>
    <col min="2308" max="2308" width="9.375" style="133" bestFit="1" customWidth="1"/>
    <col min="2309" max="2309" width="14.00390625" style="133" customWidth="1"/>
    <col min="2310" max="2310" width="9.375" style="133" bestFit="1" customWidth="1"/>
    <col min="2311" max="2313" width="13.125" style="133" bestFit="1" customWidth="1"/>
    <col min="2314" max="2558" width="9.125" style="133" customWidth="1"/>
    <col min="2559" max="2559" width="51.50390625" style="133" customWidth="1"/>
    <col min="2560" max="2560" width="16.375" style="133" customWidth="1"/>
    <col min="2561" max="2561" width="12.50390625" style="133" customWidth="1"/>
    <col min="2562" max="2562" width="11.875" style="133" customWidth="1"/>
    <col min="2563" max="2563" width="32.00390625" style="133" customWidth="1"/>
    <col min="2564" max="2564" width="9.375" style="133" bestFit="1" customWidth="1"/>
    <col min="2565" max="2565" width="14.00390625" style="133" customWidth="1"/>
    <col min="2566" max="2566" width="9.375" style="133" bestFit="1" customWidth="1"/>
    <col min="2567" max="2569" width="13.125" style="133" bestFit="1" customWidth="1"/>
    <col min="2570" max="2814" width="9.125" style="133" customWidth="1"/>
    <col min="2815" max="2815" width="51.50390625" style="133" customWidth="1"/>
    <col min="2816" max="2816" width="16.375" style="133" customWidth="1"/>
    <col min="2817" max="2817" width="12.50390625" style="133" customWidth="1"/>
    <col min="2818" max="2818" width="11.875" style="133" customWidth="1"/>
    <col min="2819" max="2819" width="32.00390625" style="133" customWidth="1"/>
    <col min="2820" max="2820" width="9.375" style="133" bestFit="1" customWidth="1"/>
    <col min="2821" max="2821" width="14.00390625" style="133" customWidth="1"/>
    <col min="2822" max="2822" width="9.375" style="133" bestFit="1" customWidth="1"/>
    <col min="2823" max="2825" width="13.125" style="133" bestFit="1" customWidth="1"/>
    <col min="2826" max="3070" width="9.125" style="133" customWidth="1"/>
    <col min="3071" max="3071" width="51.50390625" style="133" customWidth="1"/>
    <col min="3072" max="3072" width="16.375" style="133" customWidth="1"/>
    <col min="3073" max="3073" width="12.50390625" style="133" customWidth="1"/>
    <col min="3074" max="3074" width="11.875" style="133" customWidth="1"/>
    <col min="3075" max="3075" width="32.00390625" style="133" customWidth="1"/>
    <col min="3076" max="3076" width="9.375" style="133" bestFit="1" customWidth="1"/>
    <col min="3077" max="3077" width="14.00390625" style="133" customWidth="1"/>
    <col min="3078" max="3078" width="9.375" style="133" bestFit="1" customWidth="1"/>
    <col min="3079" max="3081" width="13.125" style="133" bestFit="1" customWidth="1"/>
    <col min="3082" max="3326" width="9.125" style="133" customWidth="1"/>
    <col min="3327" max="3327" width="51.50390625" style="133" customWidth="1"/>
    <col min="3328" max="3328" width="16.375" style="133" customWidth="1"/>
    <col min="3329" max="3329" width="12.50390625" style="133" customWidth="1"/>
    <col min="3330" max="3330" width="11.875" style="133" customWidth="1"/>
    <col min="3331" max="3331" width="32.00390625" style="133" customWidth="1"/>
    <col min="3332" max="3332" width="9.375" style="133" bestFit="1" customWidth="1"/>
    <col min="3333" max="3333" width="14.00390625" style="133" customWidth="1"/>
    <col min="3334" max="3334" width="9.375" style="133" bestFit="1" customWidth="1"/>
    <col min="3335" max="3337" width="13.125" style="133" bestFit="1" customWidth="1"/>
    <col min="3338" max="3582" width="9.125" style="133" customWidth="1"/>
    <col min="3583" max="3583" width="51.50390625" style="133" customWidth="1"/>
    <col min="3584" max="3584" width="16.375" style="133" customWidth="1"/>
    <col min="3585" max="3585" width="12.50390625" style="133" customWidth="1"/>
    <col min="3586" max="3586" width="11.875" style="133" customWidth="1"/>
    <col min="3587" max="3587" width="32.00390625" style="133" customWidth="1"/>
    <col min="3588" max="3588" width="9.375" style="133" bestFit="1" customWidth="1"/>
    <col min="3589" max="3589" width="14.00390625" style="133" customWidth="1"/>
    <col min="3590" max="3590" width="9.375" style="133" bestFit="1" customWidth="1"/>
    <col min="3591" max="3593" width="13.125" style="133" bestFit="1" customWidth="1"/>
    <col min="3594" max="3838" width="9.125" style="133" customWidth="1"/>
    <col min="3839" max="3839" width="51.50390625" style="133" customWidth="1"/>
    <col min="3840" max="3840" width="16.375" style="133" customWidth="1"/>
    <col min="3841" max="3841" width="12.50390625" style="133" customWidth="1"/>
    <col min="3842" max="3842" width="11.875" style="133" customWidth="1"/>
    <col min="3843" max="3843" width="32.00390625" style="133" customWidth="1"/>
    <col min="3844" max="3844" width="9.375" style="133" bestFit="1" customWidth="1"/>
    <col min="3845" max="3845" width="14.00390625" style="133" customWidth="1"/>
    <col min="3846" max="3846" width="9.375" style="133" bestFit="1" customWidth="1"/>
    <col min="3847" max="3849" width="13.125" style="133" bestFit="1" customWidth="1"/>
    <col min="3850" max="4094" width="9.125" style="133" customWidth="1"/>
    <col min="4095" max="4095" width="51.50390625" style="133" customWidth="1"/>
    <col min="4096" max="4096" width="16.375" style="133" customWidth="1"/>
    <col min="4097" max="4097" width="12.50390625" style="133" customWidth="1"/>
    <col min="4098" max="4098" width="11.875" style="133" customWidth="1"/>
    <col min="4099" max="4099" width="32.00390625" style="133" customWidth="1"/>
    <col min="4100" max="4100" width="9.375" style="133" bestFit="1" customWidth="1"/>
    <col min="4101" max="4101" width="14.00390625" style="133" customWidth="1"/>
    <col min="4102" max="4102" width="9.375" style="133" bestFit="1" customWidth="1"/>
    <col min="4103" max="4105" width="13.125" style="133" bestFit="1" customWidth="1"/>
    <col min="4106" max="4350" width="9.125" style="133" customWidth="1"/>
    <col min="4351" max="4351" width="51.50390625" style="133" customWidth="1"/>
    <col min="4352" max="4352" width="16.375" style="133" customWidth="1"/>
    <col min="4353" max="4353" width="12.50390625" style="133" customWidth="1"/>
    <col min="4354" max="4354" width="11.875" style="133" customWidth="1"/>
    <col min="4355" max="4355" width="32.00390625" style="133" customWidth="1"/>
    <col min="4356" max="4356" width="9.375" style="133" bestFit="1" customWidth="1"/>
    <col min="4357" max="4357" width="14.00390625" style="133" customWidth="1"/>
    <col min="4358" max="4358" width="9.375" style="133" bestFit="1" customWidth="1"/>
    <col min="4359" max="4361" width="13.125" style="133" bestFit="1" customWidth="1"/>
    <col min="4362" max="4606" width="9.125" style="133" customWidth="1"/>
    <col min="4607" max="4607" width="51.50390625" style="133" customWidth="1"/>
    <col min="4608" max="4608" width="16.375" style="133" customWidth="1"/>
    <col min="4609" max="4609" width="12.50390625" style="133" customWidth="1"/>
    <col min="4610" max="4610" width="11.875" style="133" customWidth="1"/>
    <col min="4611" max="4611" width="32.00390625" style="133" customWidth="1"/>
    <col min="4612" max="4612" width="9.375" style="133" bestFit="1" customWidth="1"/>
    <col min="4613" max="4613" width="14.00390625" style="133" customWidth="1"/>
    <col min="4614" max="4614" width="9.375" style="133" bestFit="1" customWidth="1"/>
    <col min="4615" max="4617" width="13.125" style="133" bestFit="1" customWidth="1"/>
    <col min="4618" max="4862" width="9.125" style="133" customWidth="1"/>
    <col min="4863" max="4863" width="51.50390625" style="133" customWidth="1"/>
    <col min="4864" max="4864" width="16.375" style="133" customWidth="1"/>
    <col min="4865" max="4865" width="12.50390625" style="133" customWidth="1"/>
    <col min="4866" max="4866" width="11.875" style="133" customWidth="1"/>
    <col min="4867" max="4867" width="32.00390625" style="133" customWidth="1"/>
    <col min="4868" max="4868" width="9.375" style="133" bestFit="1" customWidth="1"/>
    <col min="4869" max="4869" width="14.00390625" style="133" customWidth="1"/>
    <col min="4870" max="4870" width="9.375" style="133" bestFit="1" customWidth="1"/>
    <col min="4871" max="4873" width="13.125" style="133" bestFit="1" customWidth="1"/>
    <col min="4874" max="5118" width="9.125" style="133" customWidth="1"/>
    <col min="5119" max="5119" width="51.50390625" style="133" customWidth="1"/>
    <col min="5120" max="5120" width="16.375" style="133" customWidth="1"/>
    <col min="5121" max="5121" width="12.50390625" style="133" customWidth="1"/>
    <col min="5122" max="5122" width="11.875" style="133" customWidth="1"/>
    <col min="5123" max="5123" width="32.00390625" style="133" customWidth="1"/>
    <col min="5124" max="5124" width="9.375" style="133" bestFit="1" customWidth="1"/>
    <col min="5125" max="5125" width="14.00390625" style="133" customWidth="1"/>
    <col min="5126" max="5126" width="9.375" style="133" bestFit="1" customWidth="1"/>
    <col min="5127" max="5129" width="13.125" style="133" bestFit="1" customWidth="1"/>
    <col min="5130" max="5374" width="9.125" style="133" customWidth="1"/>
    <col min="5375" max="5375" width="51.50390625" style="133" customWidth="1"/>
    <col min="5376" max="5376" width="16.375" style="133" customWidth="1"/>
    <col min="5377" max="5377" width="12.50390625" style="133" customWidth="1"/>
    <col min="5378" max="5378" width="11.875" style="133" customWidth="1"/>
    <col min="5379" max="5379" width="32.00390625" style="133" customWidth="1"/>
    <col min="5380" max="5380" width="9.375" style="133" bestFit="1" customWidth="1"/>
    <col min="5381" max="5381" width="14.00390625" style="133" customWidth="1"/>
    <col min="5382" max="5382" width="9.375" style="133" bestFit="1" customWidth="1"/>
    <col min="5383" max="5385" width="13.125" style="133" bestFit="1" customWidth="1"/>
    <col min="5386" max="5630" width="9.125" style="133" customWidth="1"/>
    <col min="5631" max="5631" width="51.50390625" style="133" customWidth="1"/>
    <col min="5632" max="5632" width="16.375" style="133" customWidth="1"/>
    <col min="5633" max="5633" width="12.50390625" style="133" customWidth="1"/>
    <col min="5634" max="5634" width="11.875" style="133" customWidth="1"/>
    <col min="5635" max="5635" width="32.00390625" style="133" customWidth="1"/>
    <col min="5636" max="5636" width="9.375" style="133" bestFit="1" customWidth="1"/>
    <col min="5637" max="5637" width="14.00390625" style="133" customWidth="1"/>
    <col min="5638" max="5638" width="9.375" style="133" bestFit="1" customWidth="1"/>
    <col min="5639" max="5641" width="13.125" style="133" bestFit="1" customWidth="1"/>
    <col min="5642" max="5886" width="9.125" style="133" customWidth="1"/>
    <col min="5887" max="5887" width="51.50390625" style="133" customWidth="1"/>
    <col min="5888" max="5888" width="16.375" style="133" customWidth="1"/>
    <col min="5889" max="5889" width="12.50390625" style="133" customWidth="1"/>
    <col min="5890" max="5890" width="11.875" style="133" customWidth="1"/>
    <col min="5891" max="5891" width="32.00390625" style="133" customWidth="1"/>
    <col min="5892" max="5892" width="9.375" style="133" bestFit="1" customWidth="1"/>
    <col min="5893" max="5893" width="14.00390625" style="133" customWidth="1"/>
    <col min="5894" max="5894" width="9.375" style="133" bestFit="1" customWidth="1"/>
    <col min="5895" max="5897" width="13.125" style="133" bestFit="1" customWidth="1"/>
    <col min="5898" max="6142" width="9.125" style="133" customWidth="1"/>
    <col min="6143" max="6143" width="51.50390625" style="133" customWidth="1"/>
    <col min="6144" max="6144" width="16.375" style="133" customWidth="1"/>
    <col min="6145" max="6145" width="12.50390625" style="133" customWidth="1"/>
    <col min="6146" max="6146" width="11.875" style="133" customWidth="1"/>
    <col min="6147" max="6147" width="32.00390625" style="133" customWidth="1"/>
    <col min="6148" max="6148" width="9.375" style="133" bestFit="1" customWidth="1"/>
    <col min="6149" max="6149" width="14.00390625" style="133" customWidth="1"/>
    <col min="6150" max="6150" width="9.375" style="133" bestFit="1" customWidth="1"/>
    <col min="6151" max="6153" width="13.125" style="133" bestFit="1" customWidth="1"/>
    <col min="6154" max="6398" width="9.125" style="133" customWidth="1"/>
    <col min="6399" max="6399" width="51.50390625" style="133" customWidth="1"/>
    <col min="6400" max="6400" width="16.375" style="133" customWidth="1"/>
    <col min="6401" max="6401" width="12.50390625" style="133" customWidth="1"/>
    <col min="6402" max="6402" width="11.875" style="133" customWidth="1"/>
    <col min="6403" max="6403" width="32.00390625" style="133" customWidth="1"/>
    <col min="6404" max="6404" width="9.375" style="133" bestFit="1" customWidth="1"/>
    <col min="6405" max="6405" width="14.00390625" style="133" customWidth="1"/>
    <col min="6406" max="6406" width="9.375" style="133" bestFit="1" customWidth="1"/>
    <col min="6407" max="6409" width="13.125" style="133" bestFit="1" customWidth="1"/>
    <col min="6410" max="6654" width="9.125" style="133" customWidth="1"/>
    <col min="6655" max="6655" width="51.50390625" style="133" customWidth="1"/>
    <col min="6656" max="6656" width="16.375" style="133" customWidth="1"/>
    <col min="6657" max="6657" width="12.50390625" style="133" customWidth="1"/>
    <col min="6658" max="6658" width="11.875" style="133" customWidth="1"/>
    <col min="6659" max="6659" width="32.00390625" style="133" customWidth="1"/>
    <col min="6660" max="6660" width="9.375" style="133" bestFit="1" customWidth="1"/>
    <col min="6661" max="6661" width="14.00390625" style="133" customWidth="1"/>
    <col min="6662" max="6662" width="9.375" style="133" bestFit="1" customWidth="1"/>
    <col min="6663" max="6665" width="13.125" style="133" bestFit="1" customWidth="1"/>
    <col min="6666" max="6910" width="9.125" style="133" customWidth="1"/>
    <col min="6911" max="6911" width="51.50390625" style="133" customWidth="1"/>
    <col min="6912" max="6912" width="16.375" style="133" customWidth="1"/>
    <col min="6913" max="6913" width="12.50390625" style="133" customWidth="1"/>
    <col min="6914" max="6914" width="11.875" style="133" customWidth="1"/>
    <col min="6915" max="6915" width="32.00390625" style="133" customWidth="1"/>
    <col min="6916" max="6916" width="9.375" style="133" bestFit="1" customWidth="1"/>
    <col min="6917" max="6917" width="14.00390625" style="133" customWidth="1"/>
    <col min="6918" max="6918" width="9.375" style="133" bestFit="1" customWidth="1"/>
    <col min="6919" max="6921" width="13.125" style="133" bestFit="1" customWidth="1"/>
    <col min="6922" max="7166" width="9.125" style="133" customWidth="1"/>
    <col min="7167" max="7167" width="51.50390625" style="133" customWidth="1"/>
    <col min="7168" max="7168" width="16.375" style="133" customWidth="1"/>
    <col min="7169" max="7169" width="12.50390625" style="133" customWidth="1"/>
    <col min="7170" max="7170" width="11.875" style="133" customWidth="1"/>
    <col min="7171" max="7171" width="32.00390625" style="133" customWidth="1"/>
    <col min="7172" max="7172" width="9.375" style="133" bestFit="1" customWidth="1"/>
    <col min="7173" max="7173" width="14.00390625" style="133" customWidth="1"/>
    <col min="7174" max="7174" width="9.375" style="133" bestFit="1" customWidth="1"/>
    <col min="7175" max="7177" width="13.125" style="133" bestFit="1" customWidth="1"/>
    <col min="7178" max="7422" width="9.125" style="133" customWidth="1"/>
    <col min="7423" max="7423" width="51.50390625" style="133" customWidth="1"/>
    <col min="7424" max="7424" width="16.375" style="133" customWidth="1"/>
    <col min="7425" max="7425" width="12.50390625" style="133" customWidth="1"/>
    <col min="7426" max="7426" width="11.875" style="133" customWidth="1"/>
    <col min="7427" max="7427" width="32.00390625" style="133" customWidth="1"/>
    <col min="7428" max="7428" width="9.375" style="133" bestFit="1" customWidth="1"/>
    <col min="7429" max="7429" width="14.00390625" style="133" customWidth="1"/>
    <col min="7430" max="7430" width="9.375" style="133" bestFit="1" customWidth="1"/>
    <col min="7431" max="7433" width="13.125" style="133" bestFit="1" customWidth="1"/>
    <col min="7434" max="7678" width="9.125" style="133" customWidth="1"/>
    <col min="7679" max="7679" width="51.50390625" style="133" customWidth="1"/>
    <col min="7680" max="7680" width="16.375" style="133" customWidth="1"/>
    <col min="7681" max="7681" width="12.50390625" style="133" customWidth="1"/>
    <col min="7682" max="7682" width="11.875" style="133" customWidth="1"/>
    <col min="7683" max="7683" width="32.00390625" style="133" customWidth="1"/>
    <col min="7684" max="7684" width="9.375" style="133" bestFit="1" customWidth="1"/>
    <col min="7685" max="7685" width="14.00390625" style="133" customWidth="1"/>
    <col min="7686" max="7686" width="9.375" style="133" bestFit="1" customWidth="1"/>
    <col min="7687" max="7689" width="13.125" style="133" bestFit="1" customWidth="1"/>
    <col min="7690" max="7934" width="9.125" style="133" customWidth="1"/>
    <col min="7935" max="7935" width="51.50390625" style="133" customWidth="1"/>
    <col min="7936" max="7936" width="16.375" style="133" customWidth="1"/>
    <col min="7937" max="7937" width="12.50390625" style="133" customWidth="1"/>
    <col min="7938" max="7938" width="11.875" style="133" customWidth="1"/>
    <col min="7939" max="7939" width="32.00390625" style="133" customWidth="1"/>
    <col min="7940" max="7940" width="9.375" style="133" bestFit="1" customWidth="1"/>
    <col min="7941" max="7941" width="14.00390625" style="133" customWidth="1"/>
    <col min="7942" max="7942" width="9.375" style="133" bestFit="1" customWidth="1"/>
    <col min="7943" max="7945" width="13.125" style="133" bestFit="1" customWidth="1"/>
    <col min="7946" max="8190" width="9.125" style="133" customWidth="1"/>
    <col min="8191" max="8191" width="51.50390625" style="133" customWidth="1"/>
    <col min="8192" max="8192" width="16.375" style="133" customWidth="1"/>
    <col min="8193" max="8193" width="12.50390625" style="133" customWidth="1"/>
    <col min="8194" max="8194" width="11.875" style="133" customWidth="1"/>
    <col min="8195" max="8195" width="32.00390625" style="133" customWidth="1"/>
    <col min="8196" max="8196" width="9.375" style="133" bestFit="1" customWidth="1"/>
    <col min="8197" max="8197" width="14.00390625" style="133" customWidth="1"/>
    <col min="8198" max="8198" width="9.375" style="133" bestFit="1" customWidth="1"/>
    <col min="8199" max="8201" width="13.125" style="133" bestFit="1" customWidth="1"/>
    <col min="8202" max="8446" width="9.125" style="133" customWidth="1"/>
    <col min="8447" max="8447" width="51.50390625" style="133" customWidth="1"/>
    <col min="8448" max="8448" width="16.375" style="133" customWidth="1"/>
    <col min="8449" max="8449" width="12.50390625" style="133" customWidth="1"/>
    <col min="8450" max="8450" width="11.875" style="133" customWidth="1"/>
    <col min="8451" max="8451" width="32.00390625" style="133" customWidth="1"/>
    <col min="8452" max="8452" width="9.375" style="133" bestFit="1" customWidth="1"/>
    <col min="8453" max="8453" width="14.00390625" style="133" customWidth="1"/>
    <col min="8454" max="8454" width="9.375" style="133" bestFit="1" customWidth="1"/>
    <col min="8455" max="8457" width="13.125" style="133" bestFit="1" customWidth="1"/>
    <col min="8458" max="8702" width="9.125" style="133" customWidth="1"/>
    <col min="8703" max="8703" width="51.50390625" style="133" customWidth="1"/>
    <col min="8704" max="8704" width="16.375" style="133" customWidth="1"/>
    <col min="8705" max="8705" width="12.50390625" style="133" customWidth="1"/>
    <col min="8706" max="8706" width="11.875" style="133" customWidth="1"/>
    <col min="8707" max="8707" width="32.00390625" style="133" customWidth="1"/>
    <col min="8708" max="8708" width="9.375" style="133" bestFit="1" customWidth="1"/>
    <col min="8709" max="8709" width="14.00390625" style="133" customWidth="1"/>
    <col min="8710" max="8710" width="9.375" style="133" bestFit="1" customWidth="1"/>
    <col min="8711" max="8713" width="13.125" style="133" bestFit="1" customWidth="1"/>
    <col min="8714" max="8958" width="9.125" style="133" customWidth="1"/>
    <col min="8959" max="8959" width="51.50390625" style="133" customWidth="1"/>
    <col min="8960" max="8960" width="16.375" style="133" customWidth="1"/>
    <col min="8961" max="8961" width="12.50390625" style="133" customWidth="1"/>
    <col min="8962" max="8962" width="11.875" style="133" customWidth="1"/>
    <col min="8963" max="8963" width="32.00390625" style="133" customWidth="1"/>
    <col min="8964" max="8964" width="9.375" style="133" bestFit="1" customWidth="1"/>
    <col min="8965" max="8965" width="14.00390625" style="133" customWidth="1"/>
    <col min="8966" max="8966" width="9.375" style="133" bestFit="1" customWidth="1"/>
    <col min="8967" max="8969" width="13.125" style="133" bestFit="1" customWidth="1"/>
    <col min="8970" max="9214" width="9.125" style="133" customWidth="1"/>
    <col min="9215" max="9215" width="51.50390625" style="133" customWidth="1"/>
    <col min="9216" max="9216" width="16.375" style="133" customWidth="1"/>
    <col min="9217" max="9217" width="12.50390625" style="133" customWidth="1"/>
    <col min="9218" max="9218" width="11.875" style="133" customWidth="1"/>
    <col min="9219" max="9219" width="32.00390625" style="133" customWidth="1"/>
    <col min="9220" max="9220" width="9.375" style="133" bestFit="1" customWidth="1"/>
    <col min="9221" max="9221" width="14.00390625" style="133" customWidth="1"/>
    <col min="9222" max="9222" width="9.375" style="133" bestFit="1" customWidth="1"/>
    <col min="9223" max="9225" width="13.125" style="133" bestFit="1" customWidth="1"/>
    <col min="9226" max="9470" width="9.125" style="133" customWidth="1"/>
    <col min="9471" max="9471" width="51.50390625" style="133" customWidth="1"/>
    <col min="9472" max="9472" width="16.375" style="133" customWidth="1"/>
    <col min="9473" max="9473" width="12.50390625" style="133" customWidth="1"/>
    <col min="9474" max="9474" width="11.875" style="133" customWidth="1"/>
    <col min="9475" max="9475" width="32.00390625" style="133" customWidth="1"/>
    <col min="9476" max="9476" width="9.375" style="133" bestFit="1" customWidth="1"/>
    <col min="9477" max="9477" width="14.00390625" style="133" customWidth="1"/>
    <col min="9478" max="9478" width="9.375" style="133" bestFit="1" customWidth="1"/>
    <col min="9479" max="9481" width="13.125" style="133" bestFit="1" customWidth="1"/>
    <col min="9482" max="9726" width="9.125" style="133" customWidth="1"/>
    <col min="9727" max="9727" width="51.50390625" style="133" customWidth="1"/>
    <col min="9728" max="9728" width="16.375" style="133" customWidth="1"/>
    <col min="9729" max="9729" width="12.50390625" style="133" customWidth="1"/>
    <col min="9730" max="9730" width="11.875" style="133" customWidth="1"/>
    <col min="9731" max="9731" width="32.00390625" style="133" customWidth="1"/>
    <col min="9732" max="9732" width="9.375" style="133" bestFit="1" customWidth="1"/>
    <col min="9733" max="9733" width="14.00390625" style="133" customWidth="1"/>
    <col min="9734" max="9734" width="9.375" style="133" bestFit="1" customWidth="1"/>
    <col min="9735" max="9737" width="13.125" style="133" bestFit="1" customWidth="1"/>
    <col min="9738" max="9982" width="9.125" style="133" customWidth="1"/>
    <col min="9983" max="9983" width="51.50390625" style="133" customWidth="1"/>
    <col min="9984" max="9984" width="16.375" style="133" customWidth="1"/>
    <col min="9985" max="9985" width="12.50390625" style="133" customWidth="1"/>
    <col min="9986" max="9986" width="11.875" style="133" customWidth="1"/>
    <col min="9987" max="9987" width="32.00390625" style="133" customWidth="1"/>
    <col min="9988" max="9988" width="9.375" style="133" bestFit="1" customWidth="1"/>
    <col min="9989" max="9989" width="14.00390625" style="133" customWidth="1"/>
    <col min="9990" max="9990" width="9.375" style="133" bestFit="1" customWidth="1"/>
    <col min="9991" max="9993" width="13.125" style="133" bestFit="1" customWidth="1"/>
    <col min="9994" max="10238" width="9.125" style="133" customWidth="1"/>
    <col min="10239" max="10239" width="51.50390625" style="133" customWidth="1"/>
    <col min="10240" max="10240" width="16.375" style="133" customWidth="1"/>
    <col min="10241" max="10241" width="12.50390625" style="133" customWidth="1"/>
    <col min="10242" max="10242" width="11.875" style="133" customWidth="1"/>
    <col min="10243" max="10243" width="32.00390625" style="133" customWidth="1"/>
    <col min="10244" max="10244" width="9.375" style="133" bestFit="1" customWidth="1"/>
    <col min="10245" max="10245" width="14.00390625" style="133" customWidth="1"/>
    <col min="10246" max="10246" width="9.375" style="133" bestFit="1" customWidth="1"/>
    <col min="10247" max="10249" width="13.125" style="133" bestFit="1" customWidth="1"/>
    <col min="10250" max="10494" width="9.125" style="133" customWidth="1"/>
    <col min="10495" max="10495" width="51.50390625" style="133" customWidth="1"/>
    <col min="10496" max="10496" width="16.375" style="133" customWidth="1"/>
    <col min="10497" max="10497" width="12.50390625" style="133" customWidth="1"/>
    <col min="10498" max="10498" width="11.875" style="133" customWidth="1"/>
    <col min="10499" max="10499" width="32.00390625" style="133" customWidth="1"/>
    <col min="10500" max="10500" width="9.375" style="133" bestFit="1" customWidth="1"/>
    <col min="10501" max="10501" width="14.00390625" style="133" customWidth="1"/>
    <col min="10502" max="10502" width="9.375" style="133" bestFit="1" customWidth="1"/>
    <col min="10503" max="10505" width="13.125" style="133" bestFit="1" customWidth="1"/>
    <col min="10506" max="10750" width="9.125" style="133" customWidth="1"/>
    <col min="10751" max="10751" width="51.50390625" style="133" customWidth="1"/>
    <col min="10752" max="10752" width="16.375" style="133" customWidth="1"/>
    <col min="10753" max="10753" width="12.50390625" style="133" customWidth="1"/>
    <col min="10754" max="10754" width="11.875" style="133" customWidth="1"/>
    <col min="10755" max="10755" width="32.00390625" style="133" customWidth="1"/>
    <col min="10756" max="10756" width="9.375" style="133" bestFit="1" customWidth="1"/>
    <col min="10757" max="10757" width="14.00390625" style="133" customWidth="1"/>
    <col min="10758" max="10758" width="9.375" style="133" bestFit="1" customWidth="1"/>
    <col min="10759" max="10761" width="13.125" style="133" bestFit="1" customWidth="1"/>
    <col min="10762" max="11006" width="9.125" style="133" customWidth="1"/>
    <col min="11007" max="11007" width="51.50390625" style="133" customWidth="1"/>
    <col min="11008" max="11008" width="16.375" style="133" customWidth="1"/>
    <col min="11009" max="11009" width="12.50390625" style="133" customWidth="1"/>
    <col min="11010" max="11010" width="11.875" style="133" customWidth="1"/>
    <col min="11011" max="11011" width="32.00390625" style="133" customWidth="1"/>
    <col min="11012" max="11012" width="9.375" style="133" bestFit="1" customWidth="1"/>
    <col min="11013" max="11013" width="14.00390625" style="133" customWidth="1"/>
    <col min="11014" max="11014" width="9.375" style="133" bestFit="1" customWidth="1"/>
    <col min="11015" max="11017" width="13.125" style="133" bestFit="1" customWidth="1"/>
    <col min="11018" max="11262" width="9.125" style="133" customWidth="1"/>
    <col min="11263" max="11263" width="51.50390625" style="133" customWidth="1"/>
    <col min="11264" max="11264" width="16.375" style="133" customWidth="1"/>
    <col min="11265" max="11265" width="12.50390625" style="133" customWidth="1"/>
    <col min="11266" max="11266" width="11.875" style="133" customWidth="1"/>
    <col min="11267" max="11267" width="32.00390625" style="133" customWidth="1"/>
    <col min="11268" max="11268" width="9.375" style="133" bestFit="1" customWidth="1"/>
    <col min="11269" max="11269" width="14.00390625" style="133" customWidth="1"/>
    <col min="11270" max="11270" width="9.375" style="133" bestFit="1" customWidth="1"/>
    <col min="11271" max="11273" width="13.125" style="133" bestFit="1" customWidth="1"/>
    <col min="11274" max="11518" width="9.125" style="133" customWidth="1"/>
    <col min="11519" max="11519" width="51.50390625" style="133" customWidth="1"/>
    <col min="11520" max="11520" width="16.375" style="133" customWidth="1"/>
    <col min="11521" max="11521" width="12.50390625" style="133" customWidth="1"/>
    <col min="11522" max="11522" width="11.875" style="133" customWidth="1"/>
    <col min="11523" max="11523" width="32.00390625" style="133" customWidth="1"/>
    <col min="11524" max="11524" width="9.375" style="133" bestFit="1" customWidth="1"/>
    <col min="11525" max="11525" width="14.00390625" style="133" customWidth="1"/>
    <col min="11526" max="11526" width="9.375" style="133" bestFit="1" customWidth="1"/>
    <col min="11527" max="11529" width="13.125" style="133" bestFit="1" customWidth="1"/>
    <col min="11530" max="11774" width="9.125" style="133" customWidth="1"/>
    <col min="11775" max="11775" width="51.50390625" style="133" customWidth="1"/>
    <col min="11776" max="11776" width="16.375" style="133" customWidth="1"/>
    <col min="11777" max="11777" width="12.50390625" style="133" customWidth="1"/>
    <col min="11778" max="11778" width="11.875" style="133" customWidth="1"/>
    <col min="11779" max="11779" width="32.00390625" style="133" customWidth="1"/>
    <col min="11780" max="11780" width="9.375" style="133" bestFit="1" customWidth="1"/>
    <col min="11781" max="11781" width="14.00390625" style="133" customWidth="1"/>
    <col min="11782" max="11782" width="9.375" style="133" bestFit="1" customWidth="1"/>
    <col min="11783" max="11785" width="13.125" style="133" bestFit="1" customWidth="1"/>
    <col min="11786" max="12030" width="9.125" style="133" customWidth="1"/>
    <col min="12031" max="12031" width="51.50390625" style="133" customWidth="1"/>
    <col min="12032" max="12032" width="16.375" style="133" customWidth="1"/>
    <col min="12033" max="12033" width="12.50390625" style="133" customWidth="1"/>
    <col min="12034" max="12034" width="11.875" style="133" customWidth="1"/>
    <col min="12035" max="12035" width="32.00390625" style="133" customWidth="1"/>
    <col min="12036" max="12036" width="9.375" style="133" bestFit="1" customWidth="1"/>
    <col min="12037" max="12037" width="14.00390625" style="133" customWidth="1"/>
    <col min="12038" max="12038" width="9.375" style="133" bestFit="1" customWidth="1"/>
    <col min="12039" max="12041" width="13.125" style="133" bestFit="1" customWidth="1"/>
    <col min="12042" max="12286" width="9.125" style="133" customWidth="1"/>
    <col min="12287" max="12287" width="51.50390625" style="133" customWidth="1"/>
    <col min="12288" max="12288" width="16.375" style="133" customWidth="1"/>
    <col min="12289" max="12289" width="12.50390625" style="133" customWidth="1"/>
    <col min="12290" max="12290" width="11.875" style="133" customWidth="1"/>
    <col min="12291" max="12291" width="32.00390625" style="133" customWidth="1"/>
    <col min="12292" max="12292" width="9.375" style="133" bestFit="1" customWidth="1"/>
    <col min="12293" max="12293" width="14.00390625" style="133" customWidth="1"/>
    <col min="12294" max="12294" width="9.375" style="133" bestFit="1" customWidth="1"/>
    <col min="12295" max="12297" width="13.125" style="133" bestFit="1" customWidth="1"/>
    <col min="12298" max="12542" width="9.125" style="133" customWidth="1"/>
    <col min="12543" max="12543" width="51.50390625" style="133" customWidth="1"/>
    <col min="12544" max="12544" width="16.375" style="133" customWidth="1"/>
    <col min="12545" max="12545" width="12.50390625" style="133" customWidth="1"/>
    <col min="12546" max="12546" width="11.875" style="133" customWidth="1"/>
    <col min="12547" max="12547" width="32.00390625" style="133" customWidth="1"/>
    <col min="12548" max="12548" width="9.375" style="133" bestFit="1" customWidth="1"/>
    <col min="12549" max="12549" width="14.00390625" style="133" customWidth="1"/>
    <col min="12550" max="12550" width="9.375" style="133" bestFit="1" customWidth="1"/>
    <col min="12551" max="12553" width="13.125" style="133" bestFit="1" customWidth="1"/>
    <col min="12554" max="12798" width="9.125" style="133" customWidth="1"/>
    <col min="12799" max="12799" width="51.50390625" style="133" customWidth="1"/>
    <col min="12800" max="12800" width="16.375" style="133" customWidth="1"/>
    <col min="12801" max="12801" width="12.50390625" style="133" customWidth="1"/>
    <col min="12802" max="12802" width="11.875" style="133" customWidth="1"/>
    <col min="12803" max="12803" width="32.00390625" style="133" customWidth="1"/>
    <col min="12804" max="12804" width="9.375" style="133" bestFit="1" customWidth="1"/>
    <col min="12805" max="12805" width="14.00390625" style="133" customWidth="1"/>
    <col min="12806" max="12806" width="9.375" style="133" bestFit="1" customWidth="1"/>
    <col min="12807" max="12809" width="13.125" style="133" bestFit="1" customWidth="1"/>
    <col min="12810" max="13054" width="9.125" style="133" customWidth="1"/>
    <col min="13055" max="13055" width="51.50390625" style="133" customWidth="1"/>
    <col min="13056" max="13056" width="16.375" style="133" customWidth="1"/>
    <col min="13057" max="13057" width="12.50390625" style="133" customWidth="1"/>
    <col min="13058" max="13058" width="11.875" style="133" customWidth="1"/>
    <col min="13059" max="13059" width="32.00390625" style="133" customWidth="1"/>
    <col min="13060" max="13060" width="9.375" style="133" bestFit="1" customWidth="1"/>
    <col min="13061" max="13061" width="14.00390625" style="133" customWidth="1"/>
    <col min="13062" max="13062" width="9.375" style="133" bestFit="1" customWidth="1"/>
    <col min="13063" max="13065" width="13.125" style="133" bestFit="1" customWidth="1"/>
    <col min="13066" max="13310" width="9.125" style="133" customWidth="1"/>
    <col min="13311" max="13311" width="51.50390625" style="133" customWidth="1"/>
    <col min="13312" max="13312" width="16.375" style="133" customWidth="1"/>
    <col min="13313" max="13313" width="12.50390625" style="133" customWidth="1"/>
    <col min="13314" max="13314" width="11.875" style="133" customWidth="1"/>
    <col min="13315" max="13315" width="32.00390625" style="133" customWidth="1"/>
    <col min="13316" max="13316" width="9.375" style="133" bestFit="1" customWidth="1"/>
    <col min="13317" max="13317" width="14.00390625" style="133" customWidth="1"/>
    <col min="13318" max="13318" width="9.375" style="133" bestFit="1" customWidth="1"/>
    <col min="13319" max="13321" width="13.125" style="133" bestFit="1" customWidth="1"/>
    <col min="13322" max="13566" width="9.125" style="133" customWidth="1"/>
    <col min="13567" max="13567" width="51.50390625" style="133" customWidth="1"/>
    <col min="13568" max="13568" width="16.375" style="133" customWidth="1"/>
    <col min="13569" max="13569" width="12.50390625" style="133" customWidth="1"/>
    <col min="13570" max="13570" width="11.875" style="133" customWidth="1"/>
    <col min="13571" max="13571" width="32.00390625" style="133" customWidth="1"/>
    <col min="13572" max="13572" width="9.375" style="133" bestFit="1" customWidth="1"/>
    <col min="13573" max="13573" width="14.00390625" style="133" customWidth="1"/>
    <col min="13574" max="13574" width="9.375" style="133" bestFit="1" customWidth="1"/>
    <col min="13575" max="13577" width="13.125" style="133" bestFit="1" customWidth="1"/>
    <col min="13578" max="13822" width="9.125" style="133" customWidth="1"/>
    <col min="13823" max="13823" width="51.50390625" style="133" customWidth="1"/>
    <col min="13824" max="13824" width="16.375" style="133" customWidth="1"/>
    <col min="13825" max="13825" width="12.50390625" style="133" customWidth="1"/>
    <col min="13826" max="13826" width="11.875" style="133" customWidth="1"/>
    <col min="13827" max="13827" width="32.00390625" style="133" customWidth="1"/>
    <col min="13828" max="13828" width="9.375" style="133" bestFit="1" customWidth="1"/>
    <col min="13829" max="13829" width="14.00390625" style="133" customWidth="1"/>
    <col min="13830" max="13830" width="9.375" style="133" bestFit="1" customWidth="1"/>
    <col min="13831" max="13833" width="13.125" style="133" bestFit="1" customWidth="1"/>
    <col min="13834" max="14078" width="9.125" style="133" customWidth="1"/>
    <col min="14079" max="14079" width="51.50390625" style="133" customWidth="1"/>
    <col min="14080" max="14080" width="16.375" style="133" customWidth="1"/>
    <col min="14081" max="14081" width="12.50390625" style="133" customWidth="1"/>
    <col min="14082" max="14082" width="11.875" style="133" customWidth="1"/>
    <col min="14083" max="14083" width="32.00390625" style="133" customWidth="1"/>
    <col min="14084" max="14084" width="9.375" style="133" bestFit="1" customWidth="1"/>
    <col min="14085" max="14085" width="14.00390625" style="133" customWidth="1"/>
    <col min="14086" max="14086" width="9.375" style="133" bestFit="1" customWidth="1"/>
    <col min="14087" max="14089" width="13.125" style="133" bestFit="1" customWidth="1"/>
    <col min="14090" max="14334" width="9.125" style="133" customWidth="1"/>
    <col min="14335" max="14335" width="51.50390625" style="133" customWidth="1"/>
    <col min="14336" max="14336" width="16.375" style="133" customWidth="1"/>
    <col min="14337" max="14337" width="12.50390625" style="133" customWidth="1"/>
    <col min="14338" max="14338" width="11.875" style="133" customWidth="1"/>
    <col min="14339" max="14339" width="32.00390625" style="133" customWidth="1"/>
    <col min="14340" max="14340" width="9.375" style="133" bestFit="1" customWidth="1"/>
    <col min="14341" max="14341" width="14.00390625" style="133" customWidth="1"/>
    <col min="14342" max="14342" width="9.375" style="133" bestFit="1" customWidth="1"/>
    <col min="14343" max="14345" width="13.125" style="133" bestFit="1" customWidth="1"/>
    <col min="14346" max="14590" width="9.125" style="133" customWidth="1"/>
    <col min="14591" max="14591" width="51.50390625" style="133" customWidth="1"/>
    <col min="14592" max="14592" width="16.375" style="133" customWidth="1"/>
    <col min="14593" max="14593" width="12.50390625" style="133" customWidth="1"/>
    <col min="14594" max="14594" width="11.875" style="133" customWidth="1"/>
    <col min="14595" max="14595" width="32.00390625" style="133" customWidth="1"/>
    <col min="14596" max="14596" width="9.375" style="133" bestFit="1" customWidth="1"/>
    <col min="14597" max="14597" width="14.00390625" style="133" customWidth="1"/>
    <col min="14598" max="14598" width="9.375" style="133" bestFit="1" customWidth="1"/>
    <col min="14599" max="14601" width="13.125" style="133" bestFit="1" customWidth="1"/>
    <col min="14602" max="14846" width="9.125" style="133" customWidth="1"/>
    <col min="14847" max="14847" width="51.50390625" style="133" customWidth="1"/>
    <col min="14848" max="14848" width="16.375" style="133" customWidth="1"/>
    <col min="14849" max="14849" width="12.50390625" style="133" customWidth="1"/>
    <col min="14850" max="14850" width="11.875" style="133" customWidth="1"/>
    <col min="14851" max="14851" width="32.00390625" style="133" customWidth="1"/>
    <col min="14852" max="14852" width="9.375" style="133" bestFit="1" customWidth="1"/>
    <col min="14853" max="14853" width="14.00390625" style="133" customWidth="1"/>
    <col min="14854" max="14854" width="9.375" style="133" bestFit="1" customWidth="1"/>
    <col min="14855" max="14857" width="13.125" style="133" bestFit="1" customWidth="1"/>
    <col min="14858" max="15102" width="9.125" style="133" customWidth="1"/>
    <col min="15103" max="15103" width="51.50390625" style="133" customWidth="1"/>
    <col min="15104" max="15104" width="16.375" style="133" customWidth="1"/>
    <col min="15105" max="15105" width="12.50390625" style="133" customWidth="1"/>
    <col min="15106" max="15106" width="11.875" style="133" customWidth="1"/>
    <col min="15107" max="15107" width="32.00390625" style="133" customWidth="1"/>
    <col min="15108" max="15108" width="9.375" style="133" bestFit="1" customWidth="1"/>
    <col min="15109" max="15109" width="14.00390625" style="133" customWidth="1"/>
    <col min="15110" max="15110" width="9.375" style="133" bestFit="1" customWidth="1"/>
    <col min="15111" max="15113" width="13.125" style="133" bestFit="1" customWidth="1"/>
    <col min="15114" max="15358" width="9.125" style="133" customWidth="1"/>
    <col min="15359" max="15359" width="51.50390625" style="133" customWidth="1"/>
    <col min="15360" max="15360" width="16.375" style="133" customWidth="1"/>
    <col min="15361" max="15361" width="12.50390625" style="133" customWidth="1"/>
    <col min="15362" max="15362" width="11.875" style="133" customWidth="1"/>
    <col min="15363" max="15363" width="32.00390625" style="133" customWidth="1"/>
    <col min="15364" max="15364" width="9.375" style="133" bestFit="1" customWidth="1"/>
    <col min="15365" max="15365" width="14.00390625" style="133" customWidth="1"/>
    <col min="15366" max="15366" width="9.375" style="133" bestFit="1" customWidth="1"/>
    <col min="15367" max="15369" width="13.125" style="133" bestFit="1" customWidth="1"/>
    <col min="15370" max="15614" width="9.125" style="133" customWidth="1"/>
    <col min="15615" max="15615" width="51.50390625" style="133" customWidth="1"/>
    <col min="15616" max="15616" width="16.375" style="133" customWidth="1"/>
    <col min="15617" max="15617" width="12.50390625" style="133" customWidth="1"/>
    <col min="15618" max="15618" width="11.875" style="133" customWidth="1"/>
    <col min="15619" max="15619" width="32.00390625" style="133" customWidth="1"/>
    <col min="15620" max="15620" width="9.375" style="133" bestFit="1" customWidth="1"/>
    <col min="15621" max="15621" width="14.00390625" style="133" customWidth="1"/>
    <col min="15622" max="15622" width="9.375" style="133" bestFit="1" customWidth="1"/>
    <col min="15623" max="15625" width="13.125" style="133" bestFit="1" customWidth="1"/>
    <col min="15626" max="15870" width="9.125" style="133" customWidth="1"/>
    <col min="15871" max="15871" width="51.50390625" style="133" customWidth="1"/>
    <col min="15872" max="15872" width="16.375" style="133" customWidth="1"/>
    <col min="15873" max="15873" width="12.50390625" style="133" customWidth="1"/>
    <col min="15874" max="15874" width="11.875" style="133" customWidth="1"/>
    <col min="15875" max="15875" width="32.00390625" style="133" customWidth="1"/>
    <col min="15876" max="15876" width="9.375" style="133" bestFit="1" customWidth="1"/>
    <col min="15877" max="15877" width="14.00390625" style="133" customWidth="1"/>
    <col min="15878" max="15878" width="9.375" style="133" bestFit="1" customWidth="1"/>
    <col min="15879" max="15881" width="13.125" style="133" bestFit="1" customWidth="1"/>
    <col min="15882" max="16126" width="9.125" style="133" customWidth="1"/>
    <col min="16127" max="16127" width="51.50390625" style="133" customWidth="1"/>
    <col min="16128" max="16128" width="16.375" style="133" customWidth="1"/>
    <col min="16129" max="16129" width="12.50390625" style="133" customWidth="1"/>
    <col min="16130" max="16130" width="11.875" style="133" customWidth="1"/>
    <col min="16131" max="16131" width="32.00390625" style="133" customWidth="1"/>
    <col min="16132" max="16132" width="9.375" style="133" bestFit="1" customWidth="1"/>
    <col min="16133" max="16133" width="14.00390625" style="133" customWidth="1"/>
    <col min="16134" max="16134" width="9.375" style="133" bestFit="1" customWidth="1"/>
    <col min="16135" max="16137" width="13.125" style="133" bestFit="1" customWidth="1"/>
    <col min="16138" max="16384" width="9.125" style="133" customWidth="1"/>
  </cols>
  <sheetData>
    <row r="1" spans="7:10" ht="21.75" customHeight="1">
      <c r="G1" s="325" t="s">
        <v>579</v>
      </c>
      <c r="H1" s="325"/>
      <c r="I1" s="325"/>
      <c r="J1" s="325"/>
    </row>
    <row r="2" spans="7:10" ht="21.75" customHeight="1">
      <c r="G2" s="325" t="s">
        <v>378</v>
      </c>
      <c r="H2" s="325"/>
      <c r="I2" s="325"/>
      <c r="J2" s="325"/>
    </row>
    <row r="3" spans="7:10" ht="21.75" customHeight="1">
      <c r="G3" s="325" t="s">
        <v>1138</v>
      </c>
      <c r="H3" s="325"/>
      <c r="I3" s="325"/>
      <c r="J3" s="325"/>
    </row>
    <row r="4" spans="7:9" ht="21.75" customHeight="1">
      <c r="G4" s="135"/>
      <c r="H4" s="136"/>
      <c r="I4" s="136"/>
    </row>
    <row r="5" spans="7:9" ht="21.75" customHeight="1">
      <c r="G5" s="135"/>
      <c r="H5" s="136"/>
      <c r="I5" s="136"/>
    </row>
    <row r="6" spans="1:9" ht="36.75" customHeight="1">
      <c r="A6" s="282" t="s">
        <v>1131</v>
      </c>
      <c r="B6" s="282"/>
      <c r="C6" s="282"/>
      <c r="D6" s="282"/>
      <c r="E6" s="282"/>
      <c r="F6" s="282"/>
      <c r="G6" s="282"/>
      <c r="H6" s="282"/>
      <c r="I6" s="282"/>
    </row>
    <row r="7" spans="9:10" ht="12.75">
      <c r="I7" s="324" t="s">
        <v>565</v>
      </c>
      <c r="J7" s="324"/>
    </row>
    <row r="8" spans="1:10" ht="52.5" customHeight="1">
      <c r="A8" s="283" t="s">
        <v>509</v>
      </c>
      <c r="B8" s="326" t="s">
        <v>510</v>
      </c>
      <c r="C8" s="326"/>
      <c r="D8" s="326"/>
      <c r="E8" s="326"/>
      <c r="F8" s="326" t="s">
        <v>511</v>
      </c>
      <c r="G8" s="326"/>
      <c r="H8" s="326"/>
      <c r="I8" s="323" t="s">
        <v>558</v>
      </c>
      <c r="J8" s="323" t="s">
        <v>559</v>
      </c>
    </row>
    <row r="9" spans="1:10" ht="44.25" customHeight="1">
      <c r="A9" s="284"/>
      <c r="B9" s="122" t="s">
        <v>512</v>
      </c>
      <c r="C9" s="122" t="s">
        <v>513</v>
      </c>
      <c r="D9" s="122" t="s">
        <v>514</v>
      </c>
      <c r="E9" s="122" t="s">
        <v>515</v>
      </c>
      <c r="F9" s="122" t="s">
        <v>18</v>
      </c>
      <c r="G9" s="122" t="s">
        <v>516</v>
      </c>
      <c r="H9" s="122" t="s">
        <v>517</v>
      </c>
      <c r="I9" s="323"/>
      <c r="J9" s="323"/>
    </row>
    <row r="10" spans="1:10" ht="12.75">
      <c r="A10" s="137">
        <v>1</v>
      </c>
      <c r="B10" s="137">
        <v>2</v>
      </c>
      <c r="C10" s="137">
        <v>3</v>
      </c>
      <c r="D10" s="137">
        <v>4</v>
      </c>
      <c r="E10" s="137">
        <v>5</v>
      </c>
      <c r="F10" s="137">
        <v>6</v>
      </c>
      <c r="G10" s="137">
        <v>7</v>
      </c>
      <c r="H10" s="137">
        <v>8</v>
      </c>
      <c r="I10" s="137">
        <v>9</v>
      </c>
      <c r="J10" s="144"/>
    </row>
    <row r="11" spans="1:10" ht="195" customHeight="1">
      <c r="A11" s="24" t="s">
        <v>54</v>
      </c>
      <c r="B11" s="30" t="s">
        <v>518</v>
      </c>
      <c r="C11" s="138">
        <v>40444</v>
      </c>
      <c r="D11" s="122">
        <v>334</v>
      </c>
      <c r="E11" s="139" t="s">
        <v>519</v>
      </c>
      <c r="F11" s="140">
        <v>1001</v>
      </c>
      <c r="G11" s="141">
        <v>868001</v>
      </c>
      <c r="H11" s="142">
        <v>300</v>
      </c>
      <c r="I11" s="143">
        <f>'№8 ведом.'!F190</f>
        <v>1669.2</v>
      </c>
      <c r="J11" s="143">
        <f>'№8 ведом.'!G190</f>
        <v>1669.2</v>
      </c>
    </row>
    <row r="12" spans="1:10" ht="76.5" customHeight="1">
      <c r="A12" s="23" t="s">
        <v>520</v>
      </c>
      <c r="B12" s="30" t="s">
        <v>518</v>
      </c>
      <c r="C12" s="138">
        <v>40240</v>
      </c>
      <c r="D12" s="122">
        <v>278</v>
      </c>
      <c r="E12" s="139" t="s">
        <v>521</v>
      </c>
      <c r="F12" s="140">
        <v>1003</v>
      </c>
      <c r="G12" s="141">
        <v>868002</v>
      </c>
      <c r="H12" s="142">
        <v>300</v>
      </c>
      <c r="I12" s="143">
        <f>'№8 ведом.'!F205</f>
        <v>118.19999999999999</v>
      </c>
      <c r="J12" s="143">
        <f>'№8 ведом.'!G205</f>
        <v>118.2</v>
      </c>
    </row>
    <row r="13" spans="1:10" ht="12.75">
      <c r="A13" s="144" t="s">
        <v>522</v>
      </c>
      <c r="B13" s="145"/>
      <c r="C13" s="145"/>
      <c r="D13" s="145"/>
      <c r="E13" s="144"/>
      <c r="F13" s="144"/>
      <c r="G13" s="144"/>
      <c r="H13" s="144"/>
      <c r="I13" s="143">
        <f>I11+I12</f>
        <v>1787.4</v>
      </c>
      <c r="J13" s="143">
        <f>J11+J12</f>
        <v>1787.4</v>
      </c>
    </row>
  </sheetData>
  <mergeCells count="10">
    <mergeCell ref="J8:J9"/>
    <mergeCell ref="I8:I9"/>
    <mergeCell ref="I7:J7"/>
    <mergeCell ref="G1:J1"/>
    <mergeCell ref="G2:J2"/>
    <mergeCell ref="G3:J3"/>
    <mergeCell ref="A6:I6"/>
    <mergeCell ref="A8:A9"/>
    <mergeCell ref="B8:E8"/>
    <mergeCell ref="F8:H8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J10" sqref="J10"/>
    </sheetView>
  </sheetViews>
  <sheetFormatPr defaultColWidth="9.125" defaultRowHeight="12.75"/>
  <cols>
    <col min="1" max="1" width="7.875" style="96" customWidth="1"/>
    <col min="2" max="2" width="35.00390625" style="1" customWidth="1"/>
    <col min="3" max="3" width="22.375" style="1" customWidth="1"/>
    <col min="4" max="4" width="9.875" style="1" customWidth="1"/>
    <col min="5" max="5" width="19.375" style="96" customWidth="1"/>
    <col min="6" max="6" width="21.375" style="96" customWidth="1"/>
    <col min="7" max="254" width="9.125" style="1" customWidth="1"/>
    <col min="255" max="255" width="7.875" style="1" customWidth="1"/>
    <col min="256" max="256" width="35.00390625" style="1" customWidth="1"/>
    <col min="257" max="257" width="18.75390625" style="1" customWidth="1"/>
    <col min="258" max="258" width="10.00390625" style="1" customWidth="1"/>
    <col min="259" max="259" width="10.50390625" style="1" customWidth="1"/>
    <col min="260" max="260" width="10.875" style="1" customWidth="1"/>
    <col min="261" max="261" width="8.50390625" style="1" customWidth="1"/>
    <col min="262" max="510" width="9.125" style="1" customWidth="1"/>
    <col min="511" max="511" width="7.875" style="1" customWidth="1"/>
    <col min="512" max="512" width="35.00390625" style="1" customWidth="1"/>
    <col min="513" max="513" width="18.75390625" style="1" customWidth="1"/>
    <col min="514" max="514" width="10.00390625" style="1" customWidth="1"/>
    <col min="515" max="515" width="10.50390625" style="1" customWidth="1"/>
    <col min="516" max="516" width="10.875" style="1" customWidth="1"/>
    <col min="517" max="517" width="8.50390625" style="1" customWidth="1"/>
    <col min="518" max="766" width="9.125" style="1" customWidth="1"/>
    <col min="767" max="767" width="7.875" style="1" customWidth="1"/>
    <col min="768" max="768" width="35.00390625" style="1" customWidth="1"/>
    <col min="769" max="769" width="18.75390625" style="1" customWidth="1"/>
    <col min="770" max="770" width="10.00390625" style="1" customWidth="1"/>
    <col min="771" max="771" width="10.50390625" style="1" customWidth="1"/>
    <col min="772" max="772" width="10.875" style="1" customWidth="1"/>
    <col min="773" max="773" width="8.50390625" style="1" customWidth="1"/>
    <col min="774" max="1022" width="9.125" style="1" customWidth="1"/>
    <col min="1023" max="1023" width="7.875" style="1" customWidth="1"/>
    <col min="1024" max="1024" width="35.00390625" style="1" customWidth="1"/>
    <col min="1025" max="1025" width="18.75390625" style="1" customWidth="1"/>
    <col min="1026" max="1026" width="10.00390625" style="1" customWidth="1"/>
    <col min="1027" max="1027" width="10.50390625" style="1" customWidth="1"/>
    <col min="1028" max="1028" width="10.875" style="1" customWidth="1"/>
    <col min="1029" max="1029" width="8.50390625" style="1" customWidth="1"/>
    <col min="1030" max="1278" width="9.125" style="1" customWidth="1"/>
    <col min="1279" max="1279" width="7.875" style="1" customWidth="1"/>
    <col min="1280" max="1280" width="35.00390625" style="1" customWidth="1"/>
    <col min="1281" max="1281" width="18.75390625" style="1" customWidth="1"/>
    <col min="1282" max="1282" width="10.00390625" style="1" customWidth="1"/>
    <col min="1283" max="1283" width="10.50390625" style="1" customWidth="1"/>
    <col min="1284" max="1284" width="10.875" style="1" customWidth="1"/>
    <col min="1285" max="1285" width="8.50390625" style="1" customWidth="1"/>
    <col min="1286" max="1534" width="9.125" style="1" customWidth="1"/>
    <col min="1535" max="1535" width="7.875" style="1" customWidth="1"/>
    <col min="1536" max="1536" width="35.00390625" style="1" customWidth="1"/>
    <col min="1537" max="1537" width="18.75390625" style="1" customWidth="1"/>
    <col min="1538" max="1538" width="10.00390625" style="1" customWidth="1"/>
    <col min="1539" max="1539" width="10.50390625" style="1" customWidth="1"/>
    <col min="1540" max="1540" width="10.875" style="1" customWidth="1"/>
    <col min="1541" max="1541" width="8.50390625" style="1" customWidth="1"/>
    <col min="1542" max="1790" width="9.125" style="1" customWidth="1"/>
    <col min="1791" max="1791" width="7.875" style="1" customWidth="1"/>
    <col min="1792" max="1792" width="35.00390625" style="1" customWidth="1"/>
    <col min="1793" max="1793" width="18.75390625" style="1" customWidth="1"/>
    <col min="1794" max="1794" width="10.00390625" style="1" customWidth="1"/>
    <col min="1795" max="1795" width="10.50390625" style="1" customWidth="1"/>
    <col min="1796" max="1796" width="10.875" style="1" customWidth="1"/>
    <col min="1797" max="1797" width="8.50390625" style="1" customWidth="1"/>
    <col min="1798" max="2046" width="9.125" style="1" customWidth="1"/>
    <col min="2047" max="2047" width="7.875" style="1" customWidth="1"/>
    <col min="2048" max="2048" width="35.00390625" style="1" customWidth="1"/>
    <col min="2049" max="2049" width="18.75390625" style="1" customWidth="1"/>
    <col min="2050" max="2050" width="10.00390625" style="1" customWidth="1"/>
    <col min="2051" max="2051" width="10.50390625" style="1" customWidth="1"/>
    <col min="2052" max="2052" width="10.875" style="1" customWidth="1"/>
    <col min="2053" max="2053" width="8.50390625" style="1" customWidth="1"/>
    <col min="2054" max="2302" width="9.125" style="1" customWidth="1"/>
    <col min="2303" max="2303" width="7.875" style="1" customWidth="1"/>
    <col min="2304" max="2304" width="35.00390625" style="1" customWidth="1"/>
    <col min="2305" max="2305" width="18.75390625" style="1" customWidth="1"/>
    <col min="2306" max="2306" width="10.00390625" style="1" customWidth="1"/>
    <col min="2307" max="2307" width="10.50390625" style="1" customWidth="1"/>
    <col min="2308" max="2308" width="10.875" style="1" customWidth="1"/>
    <col min="2309" max="2309" width="8.50390625" style="1" customWidth="1"/>
    <col min="2310" max="2558" width="9.125" style="1" customWidth="1"/>
    <col min="2559" max="2559" width="7.875" style="1" customWidth="1"/>
    <col min="2560" max="2560" width="35.00390625" style="1" customWidth="1"/>
    <col min="2561" max="2561" width="18.75390625" style="1" customWidth="1"/>
    <col min="2562" max="2562" width="10.00390625" style="1" customWidth="1"/>
    <col min="2563" max="2563" width="10.50390625" style="1" customWidth="1"/>
    <col min="2564" max="2564" width="10.875" style="1" customWidth="1"/>
    <col min="2565" max="2565" width="8.50390625" style="1" customWidth="1"/>
    <col min="2566" max="2814" width="9.125" style="1" customWidth="1"/>
    <col min="2815" max="2815" width="7.875" style="1" customWidth="1"/>
    <col min="2816" max="2816" width="35.00390625" style="1" customWidth="1"/>
    <col min="2817" max="2817" width="18.75390625" style="1" customWidth="1"/>
    <col min="2818" max="2818" width="10.00390625" style="1" customWidth="1"/>
    <col min="2819" max="2819" width="10.50390625" style="1" customWidth="1"/>
    <col min="2820" max="2820" width="10.875" style="1" customWidth="1"/>
    <col min="2821" max="2821" width="8.50390625" style="1" customWidth="1"/>
    <col min="2822" max="3070" width="9.125" style="1" customWidth="1"/>
    <col min="3071" max="3071" width="7.875" style="1" customWidth="1"/>
    <col min="3072" max="3072" width="35.00390625" style="1" customWidth="1"/>
    <col min="3073" max="3073" width="18.75390625" style="1" customWidth="1"/>
    <col min="3074" max="3074" width="10.00390625" style="1" customWidth="1"/>
    <col min="3075" max="3075" width="10.50390625" style="1" customWidth="1"/>
    <col min="3076" max="3076" width="10.875" style="1" customWidth="1"/>
    <col min="3077" max="3077" width="8.50390625" style="1" customWidth="1"/>
    <col min="3078" max="3326" width="9.125" style="1" customWidth="1"/>
    <col min="3327" max="3327" width="7.875" style="1" customWidth="1"/>
    <col min="3328" max="3328" width="35.00390625" style="1" customWidth="1"/>
    <col min="3329" max="3329" width="18.75390625" style="1" customWidth="1"/>
    <col min="3330" max="3330" width="10.00390625" style="1" customWidth="1"/>
    <col min="3331" max="3331" width="10.50390625" style="1" customWidth="1"/>
    <col min="3332" max="3332" width="10.875" style="1" customWidth="1"/>
    <col min="3333" max="3333" width="8.50390625" style="1" customWidth="1"/>
    <col min="3334" max="3582" width="9.125" style="1" customWidth="1"/>
    <col min="3583" max="3583" width="7.875" style="1" customWidth="1"/>
    <col min="3584" max="3584" width="35.00390625" style="1" customWidth="1"/>
    <col min="3585" max="3585" width="18.75390625" style="1" customWidth="1"/>
    <col min="3586" max="3586" width="10.00390625" style="1" customWidth="1"/>
    <col min="3587" max="3587" width="10.50390625" style="1" customWidth="1"/>
    <col min="3588" max="3588" width="10.875" style="1" customWidth="1"/>
    <col min="3589" max="3589" width="8.50390625" style="1" customWidth="1"/>
    <col min="3590" max="3838" width="9.125" style="1" customWidth="1"/>
    <col min="3839" max="3839" width="7.875" style="1" customWidth="1"/>
    <col min="3840" max="3840" width="35.00390625" style="1" customWidth="1"/>
    <col min="3841" max="3841" width="18.75390625" style="1" customWidth="1"/>
    <col min="3842" max="3842" width="10.00390625" style="1" customWidth="1"/>
    <col min="3843" max="3843" width="10.50390625" style="1" customWidth="1"/>
    <col min="3844" max="3844" width="10.875" style="1" customWidth="1"/>
    <col min="3845" max="3845" width="8.50390625" style="1" customWidth="1"/>
    <col min="3846" max="4094" width="9.125" style="1" customWidth="1"/>
    <col min="4095" max="4095" width="7.875" style="1" customWidth="1"/>
    <col min="4096" max="4096" width="35.00390625" style="1" customWidth="1"/>
    <col min="4097" max="4097" width="18.75390625" style="1" customWidth="1"/>
    <col min="4098" max="4098" width="10.00390625" style="1" customWidth="1"/>
    <col min="4099" max="4099" width="10.50390625" style="1" customWidth="1"/>
    <col min="4100" max="4100" width="10.875" style="1" customWidth="1"/>
    <col min="4101" max="4101" width="8.50390625" style="1" customWidth="1"/>
    <col min="4102" max="4350" width="9.125" style="1" customWidth="1"/>
    <col min="4351" max="4351" width="7.875" style="1" customWidth="1"/>
    <col min="4352" max="4352" width="35.00390625" style="1" customWidth="1"/>
    <col min="4353" max="4353" width="18.75390625" style="1" customWidth="1"/>
    <col min="4354" max="4354" width="10.00390625" style="1" customWidth="1"/>
    <col min="4355" max="4355" width="10.50390625" style="1" customWidth="1"/>
    <col min="4356" max="4356" width="10.875" style="1" customWidth="1"/>
    <col min="4357" max="4357" width="8.50390625" style="1" customWidth="1"/>
    <col min="4358" max="4606" width="9.125" style="1" customWidth="1"/>
    <col min="4607" max="4607" width="7.875" style="1" customWidth="1"/>
    <col min="4608" max="4608" width="35.00390625" style="1" customWidth="1"/>
    <col min="4609" max="4609" width="18.75390625" style="1" customWidth="1"/>
    <col min="4610" max="4610" width="10.00390625" style="1" customWidth="1"/>
    <col min="4611" max="4611" width="10.50390625" style="1" customWidth="1"/>
    <col min="4612" max="4612" width="10.875" style="1" customWidth="1"/>
    <col min="4613" max="4613" width="8.50390625" style="1" customWidth="1"/>
    <col min="4614" max="4862" width="9.125" style="1" customWidth="1"/>
    <col min="4863" max="4863" width="7.875" style="1" customWidth="1"/>
    <col min="4864" max="4864" width="35.00390625" style="1" customWidth="1"/>
    <col min="4865" max="4865" width="18.75390625" style="1" customWidth="1"/>
    <col min="4866" max="4866" width="10.00390625" style="1" customWidth="1"/>
    <col min="4867" max="4867" width="10.50390625" style="1" customWidth="1"/>
    <col min="4868" max="4868" width="10.875" style="1" customWidth="1"/>
    <col min="4869" max="4869" width="8.50390625" style="1" customWidth="1"/>
    <col min="4870" max="5118" width="9.125" style="1" customWidth="1"/>
    <col min="5119" max="5119" width="7.875" style="1" customWidth="1"/>
    <col min="5120" max="5120" width="35.00390625" style="1" customWidth="1"/>
    <col min="5121" max="5121" width="18.75390625" style="1" customWidth="1"/>
    <col min="5122" max="5122" width="10.00390625" style="1" customWidth="1"/>
    <col min="5123" max="5123" width="10.50390625" style="1" customWidth="1"/>
    <col min="5124" max="5124" width="10.875" style="1" customWidth="1"/>
    <col min="5125" max="5125" width="8.50390625" style="1" customWidth="1"/>
    <col min="5126" max="5374" width="9.125" style="1" customWidth="1"/>
    <col min="5375" max="5375" width="7.875" style="1" customWidth="1"/>
    <col min="5376" max="5376" width="35.00390625" style="1" customWidth="1"/>
    <col min="5377" max="5377" width="18.75390625" style="1" customWidth="1"/>
    <col min="5378" max="5378" width="10.00390625" style="1" customWidth="1"/>
    <col min="5379" max="5379" width="10.50390625" style="1" customWidth="1"/>
    <col min="5380" max="5380" width="10.875" style="1" customWidth="1"/>
    <col min="5381" max="5381" width="8.50390625" style="1" customWidth="1"/>
    <col min="5382" max="5630" width="9.125" style="1" customWidth="1"/>
    <col min="5631" max="5631" width="7.875" style="1" customWidth="1"/>
    <col min="5632" max="5632" width="35.00390625" style="1" customWidth="1"/>
    <col min="5633" max="5633" width="18.75390625" style="1" customWidth="1"/>
    <col min="5634" max="5634" width="10.00390625" style="1" customWidth="1"/>
    <col min="5635" max="5635" width="10.50390625" style="1" customWidth="1"/>
    <col min="5636" max="5636" width="10.875" style="1" customWidth="1"/>
    <col min="5637" max="5637" width="8.50390625" style="1" customWidth="1"/>
    <col min="5638" max="5886" width="9.125" style="1" customWidth="1"/>
    <col min="5887" max="5887" width="7.875" style="1" customWidth="1"/>
    <col min="5888" max="5888" width="35.00390625" style="1" customWidth="1"/>
    <col min="5889" max="5889" width="18.75390625" style="1" customWidth="1"/>
    <col min="5890" max="5890" width="10.00390625" style="1" customWidth="1"/>
    <col min="5891" max="5891" width="10.50390625" style="1" customWidth="1"/>
    <col min="5892" max="5892" width="10.875" style="1" customWidth="1"/>
    <col min="5893" max="5893" width="8.50390625" style="1" customWidth="1"/>
    <col min="5894" max="6142" width="9.125" style="1" customWidth="1"/>
    <col min="6143" max="6143" width="7.875" style="1" customWidth="1"/>
    <col min="6144" max="6144" width="35.00390625" style="1" customWidth="1"/>
    <col min="6145" max="6145" width="18.75390625" style="1" customWidth="1"/>
    <col min="6146" max="6146" width="10.00390625" style="1" customWidth="1"/>
    <col min="6147" max="6147" width="10.50390625" style="1" customWidth="1"/>
    <col min="6148" max="6148" width="10.875" style="1" customWidth="1"/>
    <col min="6149" max="6149" width="8.50390625" style="1" customWidth="1"/>
    <col min="6150" max="6398" width="9.125" style="1" customWidth="1"/>
    <col min="6399" max="6399" width="7.875" style="1" customWidth="1"/>
    <col min="6400" max="6400" width="35.00390625" style="1" customWidth="1"/>
    <col min="6401" max="6401" width="18.75390625" style="1" customWidth="1"/>
    <col min="6402" max="6402" width="10.00390625" style="1" customWidth="1"/>
    <col min="6403" max="6403" width="10.50390625" style="1" customWidth="1"/>
    <col min="6404" max="6404" width="10.875" style="1" customWidth="1"/>
    <col min="6405" max="6405" width="8.50390625" style="1" customWidth="1"/>
    <col min="6406" max="6654" width="9.125" style="1" customWidth="1"/>
    <col min="6655" max="6655" width="7.875" style="1" customWidth="1"/>
    <col min="6656" max="6656" width="35.00390625" style="1" customWidth="1"/>
    <col min="6657" max="6657" width="18.75390625" style="1" customWidth="1"/>
    <col min="6658" max="6658" width="10.00390625" style="1" customWidth="1"/>
    <col min="6659" max="6659" width="10.50390625" style="1" customWidth="1"/>
    <col min="6660" max="6660" width="10.875" style="1" customWidth="1"/>
    <col min="6661" max="6661" width="8.50390625" style="1" customWidth="1"/>
    <col min="6662" max="6910" width="9.125" style="1" customWidth="1"/>
    <col min="6911" max="6911" width="7.875" style="1" customWidth="1"/>
    <col min="6912" max="6912" width="35.00390625" style="1" customWidth="1"/>
    <col min="6913" max="6913" width="18.75390625" style="1" customWidth="1"/>
    <col min="6914" max="6914" width="10.00390625" style="1" customWidth="1"/>
    <col min="6915" max="6915" width="10.50390625" style="1" customWidth="1"/>
    <col min="6916" max="6916" width="10.875" style="1" customWidth="1"/>
    <col min="6917" max="6917" width="8.50390625" style="1" customWidth="1"/>
    <col min="6918" max="7166" width="9.125" style="1" customWidth="1"/>
    <col min="7167" max="7167" width="7.875" style="1" customWidth="1"/>
    <col min="7168" max="7168" width="35.00390625" style="1" customWidth="1"/>
    <col min="7169" max="7169" width="18.75390625" style="1" customWidth="1"/>
    <col min="7170" max="7170" width="10.00390625" style="1" customWidth="1"/>
    <col min="7171" max="7171" width="10.50390625" style="1" customWidth="1"/>
    <col min="7172" max="7172" width="10.875" style="1" customWidth="1"/>
    <col min="7173" max="7173" width="8.50390625" style="1" customWidth="1"/>
    <col min="7174" max="7422" width="9.125" style="1" customWidth="1"/>
    <col min="7423" max="7423" width="7.875" style="1" customWidth="1"/>
    <col min="7424" max="7424" width="35.00390625" style="1" customWidth="1"/>
    <col min="7425" max="7425" width="18.75390625" style="1" customWidth="1"/>
    <col min="7426" max="7426" width="10.00390625" style="1" customWidth="1"/>
    <col min="7427" max="7427" width="10.50390625" style="1" customWidth="1"/>
    <col min="7428" max="7428" width="10.875" style="1" customWidth="1"/>
    <col min="7429" max="7429" width="8.50390625" style="1" customWidth="1"/>
    <col min="7430" max="7678" width="9.125" style="1" customWidth="1"/>
    <col min="7679" max="7679" width="7.875" style="1" customWidth="1"/>
    <col min="7680" max="7680" width="35.00390625" style="1" customWidth="1"/>
    <col min="7681" max="7681" width="18.75390625" style="1" customWidth="1"/>
    <col min="7682" max="7682" width="10.00390625" style="1" customWidth="1"/>
    <col min="7683" max="7683" width="10.50390625" style="1" customWidth="1"/>
    <col min="7684" max="7684" width="10.875" style="1" customWidth="1"/>
    <col min="7685" max="7685" width="8.50390625" style="1" customWidth="1"/>
    <col min="7686" max="7934" width="9.125" style="1" customWidth="1"/>
    <col min="7935" max="7935" width="7.875" style="1" customWidth="1"/>
    <col min="7936" max="7936" width="35.00390625" style="1" customWidth="1"/>
    <col min="7937" max="7937" width="18.75390625" style="1" customWidth="1"/>
    <col min="7938" max="7938" width="10.00390625" style="1" customWidth="1"/>
    <col min="7939" max="7939" width="10.50390625" style="1" customWidth="1"/>
    <col min="7940" max="7940" width="10.875" style="1" customWidth="1"/>
    <col min="7941" max="7941" width="8.50390625" style="1" customWidth="1"/>
    <col min="7942" max="8190" width="9.125" style="1" customWidth="1"/>
    <col min="8191" max="8191" width="7.875" style="1" customWidth="1"/>
    <col min="8192" max="8192" width="35.00390625" style="1" customWidth="1"/>
    <col min="8193" max="8193" width="18.75390625" style="1" customWidth="1"/>
    <col min="8194" max="8194" width="10.00390625" style="1" customWidth="1"/>
    <col min="8195" max="8195" width="10.50390625" style="1" customWidth="1"/>
    <col min="8196" max="8196" width="10.875" style="1" customWidth="1"/>
    <col min="8197" max="8197" width="8.50390625" style="1" customWidth="1"/>
    <col min="8198" max="8446" width="9.125" style="1" customWidth="1"/>
    <col min="8447" max="8447" width="7.875" style="1" customWidth="1"/>
    <col min="8448" max="8448" width="35.00390625" style="1" customWidth="1"/>
    <col min="8449" max="8449" width="18.75390625" style="1" customWidth="1"/>
    <col min="8450" max="8450" width="10.00390625" style="1" customWidth="1"/>
    <col min="8451" max="8451" width="10.50390625" style="1" customWidth="1"/>
    <col min="8452" max="8452" width="10.875" style="1" customWidth="1"/>
    <col min="8453" max="8453" width="8.50390625" style="1" customWidth="1"/>
    <col min="8454" max="8702" width="9.125" style="1" customWidth="1"/>
    <col min="8703" max="8703" width="7.875" style="1" customWidth="1"/>
    <col min="8704" max="8704" width="35.00390625" style="1" customWidth="1"/>
    <col min="8705" max="8705" width="18.75390625" style="1" customWidth="1"/>
    <col min="8706" max="8706" width="10.00390625" style="1" customWidth="1"/>
    <col min="8707" max="8707" width="10.50390625" style="1" customWidth="1"/>
    <col min="8708" max="8708" width="10.875" style="1" customWidth="1"/>
    <col min="8709" max="8709" width="8.50390625" style="1" customWidth="1"/>
    <col min="8710" max="8958" width="9.125" style="1" customWidth="1"/>
    <col min="8959" max="8959" width="7.875" style="1" customWidth="1"/>
    <col min="8960" max="8960" width="35.00390625" style="1" customWidth="1"/>
    <col min="8961" max="8961" width="18.75390625" style="1" customWidth="1"/>
    <col min="8962" max="8962" width="10.00390625" style="1" customWidth="1"/>
    <col min="8963" max="8963" width="10.50390625" style="1" customWidth="1"/>
    <col min="8964" max="8964" width="10.875" style="1" customWidth="1"/>
    <col min="8965" max="8965" width="8.50390625" style="1" customWidth="1"/>
    <col min="8966" max="9214" width="9.125" style="1" customWidth="1"/>
    <col min="9215" max="9215" width="7.875" style="1" customWidth="1"/>
    <col min="9216" max="9216" width="35.00390625" style="1" customWidth="1"/>
    <col min="9217" max="9217" width="18.75390625" style="1" customWidth="1"/>
    <col min="9218" max="9218" width="10.00390625" style="1" customWidth="1"/>
    <col min="9219" max="9219" width="10.50390625" style="1" customWidth="1"/>
    <col min="9220" max="9220" width="10.875" style="1" customWidth="1"/>
    <col min="9221" max="9221" width="8.50390625" style="1" customWidth="1"/>
    <col min="9222" max="9470" width="9.125" style="1" customWidth="1"/>
    <col min="9471" max="9471" width="7.875" style="1" customWidth="1"/>
    <col min="9472" max="9472" width="35.00390625" style="1" customWidth="1"/>
    <col min="9473" max="9473" width="18.75390625" style="1" customWidth="1"/>
    <col min="9474" max="9474" width="10.00390625" style="1" customWidth="1"/>
    <col min="9475" max="9475" width="10.50390625" style="1" customWidth="1"/>
    <col min="9476" max="9476" width="10.875" style="1" customWidth="1"/>
    <col min="9477" max="9477" width="8.50390625" style="1" customWidth="1"/>
    <col min="9478" max="9726" width="9.125" style="1" customWidth="1"/>
    <col min="9727" max="9727" width="7.875" style="1" customWidth="1"/>
    <col min="9728" max="9728" width="35.00390625" style="1" customWidth="1"/>
    <col min="9729" max="9729" width="18.75390625" style="1" customWidth="1"/>
    <col min="9730" max="9730" width="10.00390625" style="1" customWidth="1"/>
    <col min="9731" max="9731" width="10.50390625" style="1" customWidth="1"/>
    <col min="9732" max="9732" width="10.875" style="1" customWidth="1"/>
    <col min="9733" max="9733" width="8.50390625" style="1" customWidth="1"/>
    <col min="9734" max="9982" width="9.125" style="1" customWidth="1"/>
    <col min="9983" max="9983" width="7.875" style="1" customWidth="1"/>
    <col min="9984" max="9984" width="35.00390625" style="1" customWidth="1"/>
    <col min="9985" max="9985" width="18.75390625" style="1" customWidth="1"/>
    <col min="9986" max="9986" width="10.00390625" style="1" customWidth="1"/>
    <col min="9987" max="9987" width="10.50390625" style="1" customWidth="1"/>
    <col min="9988" max="9988" width="10.875" style="1" customWidth="1"/>
    <col min="9989" max="9989" width="8.50390625" style="1" customWidth="1"/>
    <col min="9990" max="10238" width="9.125" style="1" customWidth="1"/>
    <col min="10239" max="10239" width="7.875" style="1" customWidth="1"/>
    <col min="10240" max="10240" width="35.00390625" style="1" customWidth="1"/>
    <col min="10241" max="10241" width="18.75390625" style="1" customWidth="1"/>
    <col min="10242" max="10242" width="10.00390625" style="1" customWidth="1"/>
    <col min="10243" max="10243" width="10.50390625" style="1" customWidth="1"/>
    <col min="10244" max="10244" width="10.875" style="1" customWidth="1"/>
    <col min="10245" max="10245" width="8.50390625" style="1" customWidth="1"/>
    <col min="10246" max="10494" width="9.125" style="1" customWidth="1"/>
    <col min="10495" max="10495" width="7.875" style="1" customWidth="1"/>
    <col min="10496" max="10496" width="35.00390625" style="1" customWidth="1"/>
    <col min="10497" max="10497" width="18.75390625" style="1" customWidth="1"/>
    <col min="10498" max="10498" width="10.00390625" style="1" customWidth="1"/>
    <col min="10499" max="10499" width="10.50390625" style="1" customWidth="1"/>
    <col min="10500" max="10500" width="10.875" style="1" customWidth="1"/>
    <col min="10501" max="10501" width="8.50390625" style="1" customWidth="1"/>
    <col min="10502" max="10750" width="9.125" style="1" customWidth="1"/>
    <col min="10751" max="10751" width="7.875" style="1" customWidth="1"/>
    <col min="10752" max="10752" width="35.00390625" style="1" customWidth="1"/>
    <col min="10753" max="10753" width="18.75390625" style="1" customWidth="1"/>
    <col min="10754" max="10754" width="10.00390625" style="1" customWidth="1"/>
    <col min="10755" max="10755" width="10.50390625" style="1" customWidth="1"/>
    <col min="10756" max="10756" width="10.875" style="1" customWidth="1"/>
    <col min="10757" max="10757" width="8.50390625" style="1" customWidth="1"/>
    <col min="10758" max="11006" width="9.125" style="1" customWidth="1"/>
    <col min="11007" max="11007" width="7.875" style="1" customWidth="1"/>
    <col min="11008" max="11008" width="35.00390625" style="1" customWidth="1"/>
    <col min="11009" max="11009" width="18.75390625" style="1" customWidth="1"/>
    <col min="11010" max="11010" width="10.00390625" style="1" customWidth="1"/>
    <col min="11011" max="11011" width="10.50390625" style="1" customWidth="1"/>
    <col min="11012" max="11012" width="10.875" style="1" customWidth="1"/>
    <col min="11013" max="11013" width="8.50390625" style="1" customWidth="1"/>
    <col min="11014" max="11262" width="9.125" style="1" customWidth="1"/>
    <col min="11263" max="11263" width="7.875" style="1" customWidth="1"/>
    <col min="11264" max="11264" width="35.00390625" style="1" customWidth="1"/>
    <col min="11265" max="11265" width="18.75390625" style="1" customWidth="1"/>
    <col min="11266" max="11266" width="10.00390625" style="1" customWidth="1"/>
    <col min="11267" max="11267" width="10.50390625" style="1" customWidth="1"/>
    <col min="11268" max="11268" width="10.875" style="1" customWidth="1"/>
    <col min="11269" max="11269" width="8.50390625" style="1" customWidth="1"/>
    <col min="11270" max="11518" width="9.125" style="1" customWidth="1"/>
    <col min="11519" max="11519" width="7.875" style="1" customWidth="1"/>
    <col min="11520" max="11520" width="35.00390625" style="1" customWidth="1"/>
    <col min="11521" max="11521" width="18.75390625" style="1" customWidth="1"/>
    <col min="11522" max="11522" width="10.00390625" style="1" customWidth="1"/>
    <col min="11523" max="11523" width="10.50390625" style="1" customWidth="1"/>
    <col min="11524" max="11524" width="10.875" style="1" customWidth="1"/>
    <col min="11525" max="11525" width="8.50390625" style="1" customWidth="1"/>
    <col min="11526" max="11774" width="9.125" style="1" customWidth="1"/>
    <col min="11775" max="11775" width="7.875" style="1" customWidth="1"/>
    <col min="11776" max="11776" width="35.00390625" style="1" customWidth="1"/>
    <col min="11777" max="11777" width="18.75390625" style="1" customWidth="1"/>
    <col min="11778" max="11778" width="10.00390625" style="1" customWidth="1"/>
    <col min="11779" max="11779" width="10.50390625" style="1" customWidth="1"/>
    <col min="11780" max="11780" width="10.875" style="1" customWidth="1"/>
    <col min="11781" max="11781" width="8.50390625" style="1" customWidth="1"/>
    <col min="11782" max="12030" width="9.125" style="1" customWidth="1"/>
    <col min="12031" max="12031" width="7.875" style="1" customWidth="1"/>
    <col min="12032" max="12032" width="35.00390625" style="1" customWidth="1"/>
    <col min="12033" max="12033" width="18.75390625" style="1" customWidth="1"/>
    <col min="12034" max="12034" width="10.00390625" style="1" customWidth="1"/>
    <col min="12035" max="12035" width="10.50390625" style="1" customWidth="1"/>
    <col min="12036" max="12036" width="10.875" style="1" customWidth="1"/>
    <col min="12037" max="12037" width="8.50390625" style="1" customWidth="1"/>
    <col min="12038" max="12286" width="9.125" style="1" customWidth="1"/>
    <col min="12287" max="12287" width="7.875" style="1" customWidth="1"/>
    <col min="12288" max="12288" width="35.00390625" style="1" customWidth="1"/>
    <col min="12289" max="12289" width="18.75390625" style="1" customWidth="1"/>
    <col min="12290" max="12290" width="10.00390625" style="1" customWidth="1"/>
    <col min="12291" max="12291" width="10.50390625" style="1" customWidth="1"/>
    <col min="12292" max="12292" width="10.875" style="1" customWidth="1"/>
    <col min="12293" max="12293" width="8.50390625" style="1" customWidth="1"/>
    <col min="12294" max="12542" width="9.125" style="1" customWidth="1"/>
    <col min="12543" max="12543" width="7.875" style="1" customWidth="1"/>
    <col min="12544" max="12544" width="35.00390625" style="1" customWidth="1"/>
    <col min="12545" max="12545" width="18.75390625" style="1" customWidth="1"/>
    <col min="12546" max="12546" width="10.00390625" style="1" customWidth="1"/>
    <col min="12547" max="12547" width="10.50390625" style="1" customWidth="1"/>
    <col min="12548" max="12548" width="10.875" style="1" customWidth="1"/>
    <col min="12549" max="12549" width="8.50390625" style="1" customWidth="1"/>
    <col min="12550" max="12798" width="9.125" style="1" customWidth="1"/>
    <col min="12799" max="12799" width="7.875" style="1" customWidth="1"/>
    <col min="12800" max="12800" width="35.00390625" style="1" customWidth="1"/>
    <col min="12801" max="12801" width="18.75390625" style="1" customWidth="1"/>
    <col min="12802" max="12802" width="10.00390625" style="1" customWidth="1"/>
    <col min="12803" max="12803" width="10.50390625" style="1" customWidth="1"/>
    <col min="12804" max="12804" width="10.875" style="1" customWidth="1"/>
    <col min="12805" max="12805" width="8.50390625" style="1" customWidth="1"/>
    <col min="12806" max="13054" width="9.125" style="1" customWidth="1"/>
    <col min="13055" max="13055" width="7.875" style="1" customWidth="1"/>
    <col min="13056" max="13056" width="35.00390625" style="1" customWidth="1"/>
    <col min="13057" max="13057" width="18.75390625" style="1" customWidth="1"/>
    <col min="13058" max="13058" width="10.00390625" style="1" customWidth="1"/>
    <col min="13059" max="13059" width="10.50390625" style="1" customWidth="1"/>
    <col min="13060" max="13060" width="10.875" style="1" customWidth="1"/>
    <col min="13061" max="13061" width="8.50390625" style="1" customWidth="1"/>
    <col min="13062" max="13310" width="9.125" style="1" customWidth="1"/>
    <col min="13311" max="13311" width="7.875" style="1" customWidth="1"/>
    <col min="13312" max="13312" width="35.00390625" style="1" customWidth="1"/>
    <col min="13313" max="13313" width="18.75390625" style="1" customWidth="1"/>
    <col min="13314" max="13314" width="10.00390625" style="1" customWidth="1"/>
    <col min="13315" max="13315" width="10.50390625" style="1" customWidth="1"/>
    <col min="13316" max="13316" width="10.875" style="1" customWidth="1"/>
    <col min="13317" max="13317" width="8.50390625" style="1" customWidth="1"/>
    <col min="13318" max="13566" width="9.125" style="1" customWidth="1"/>
    <col min="13567" max="13567" width="7.875" style="1" customWidth="1"/>
    <col min="13568" max="13568" width="35.00390625" style="1" customWidth="1"/>
    <col min="13569" max="13569" width="18.75390625" style="1" customWidth="1"/>
    <col min="13570" max="13570" width="10.00390625" style="1" customWidth="1"/>
    <col min="13571" max="13571" width="10.50390625" style="1" customWidth="1"/>
    <col min="13572" max="13572" width="10.875" style="1" customWidth="1"/>
    <col min="13573" max="13573" width="8.50390625" style="1" customWidth="1"/>
    <col min="13574" max="13822" width="9.125" style="1" customWidth="1"/>
    <col min="13823" max="13823" width="7.875" style="1" customWidth="1"/>
    <col min="13824" max="13824" width="35.00390625" style="1" customWidth="1"/>
    <col min="13825" max="13825" width="18.75390625" style="1" customWidth="1"/>
    <col min="13826" max="13826" width="10.00390625" style="1" customWidth="1"/>
    <col min="13827" max="13827" width="10.50390625" style="1" customWidth="1"/>
    <col min="13828" max="13828" width="10.875" style="1" customWidth="1"/>
    <col min="13829" max="13829" width="8.50390625" style="1" customWidth="1"/>
    <col min="13830" max="14078" width="9.125" style="1" customWidth="1"/>
    <col min="14079" max="14079" width="7.875" style="1" customWidth="1"/>
    <col min="14080" max="14080" width="35.00390625" style="1" customWidth="1"/>
    <col min="14081" max="14081" width="18.75390625" style="1" customWidth="1"/>
    <col min="14082" max="14082" width="10.00390625" style="1" customWidth="1"/>
    <col min="14083" max="14083" width="10.50390625" style="1" customWidth="1"/>
    <col min="14084" max="14084" width="10.875" style="1" customWidth="1"/>
    <col min="14085" max="14085" width="8.50390625" style="1" customWidth="1"/>
    <col min="14086" max="14334" width="9.125" style="1" customWidth="1"/>
    <col min="14335" max="14335" width="7.875" style="1" customWidth="1"/>
    <col min="14336" max="14336" width="35.00390625" style="1" customWidth="1"/>
    <col min="14337" max="14337" width="18.75390625" style="1" customWidth="1"/>
    <col min="14338" max="14338" width="10.00390625" style="1" customWidth="1"/>
    <col min="14339" max="14339" width="10.50390625" style="1" customWidth="1"/>
    <col min="14340" max="14340" width="10.875" style="1" customWidth="1"/>
    <col min="14341" max="14341" width="8.50390625" style="1" customWidth="1"/>
    <col min="14342" max="14590" width="9.125" style="1" customWidth="1"/>
    <col min="14591" max="14591" width="7.875" style="1" customWidth="1"/>
    <col min="14592" max="14592" width="35.00390625" style="1" customWidth="1"/>
    <col min="14593" max="14593" width="18.75390625" style="1" customWidth="1"/>
    <col min="14594" max="14594" width="10.00390625" style="1" customWidth="1"/>
    <col min="14595" max="14595" width="10.50390625" style="1" customWidth="1"/>
    <col min="14596" max="14596" width="10.875" style="1" customWidth="1"/>
    <col min="14597" max="14597" width="8.50390625" style="1" customWidth="1"/>
    <col min="14598" max="14846" width="9.125" style="1" customWidth="1"/>
    <col min="14847" max="14847" width="7.875" style="1" customWidth="1"/>
    <col min="14848" max="14848" width="35.00390625" style="1" customWidth="1"/>
    <col min="14849" max="14849" width="18.75390625" style="1" customWidth="1"/>
    <col min="14850" max="14850" width="10.00390625" style="1" customWidth="1"/>
    <col min="14851" max="14851" width="10.50390625" style="1" customWidth="1"/>
    <col min="14852" max="14852" width="10.875" style="1" customWidth="1"/>
    <col min="14853" max="14853" width="8.50390625" style="1" customWidth="1"/>
    <col min="14854" max="15102" width="9.125" style="1" customWidth="1"/>
    <col min="15103" max="15103" width="7.875" style="1" customWidth="1"/>
    <col min="15104" max="15104" width="35.00390625" style="1" customWidth="1"/>
    <col min="15105" max="15105" width="18.75390625" style="1" customWidth="1"/>
    <col min="15106" max="15106" width="10.00390625" style="1" customWidth="1"/>
    <col min="15107" max="15107" width="10.50390625" style="1" customWidth="1"/>
    <col min="15108" max="15108" width="10.875" style="1" customWidth="1"/>
    <col min="15109" max="15109" width="8.50390625" style="1" customWidth="1"/>
    <col min="15110" max="15358" width="9.125" style="1" customWidth="1"/>
    <col min="15359" max="15359" width="7.875" style="1" customWidth="1"/>
    <col min="15360" max="15360" width="35.00390625" style="1" customWidth="1"/>
    <col min="15361" max="15361" width="18.75390625" style="1" customWidth="1"/>
    <col min="15362" max="15362" width="10.00390625" style="1" customWidth="1"/>
    <col min="15363" max="15363" width="10.50390625" style="1" customWidth="1"/>
    <col min="15364" max="15364" width="10.875" style="1" customWidth="1"/>
    <col min="15365" max="15365" width="8.50390625" style="1" customWidth="1"/>
    <col min="15366" max="15614" width="9.125" style="1" customWidth="1"/>
    <col min="15615" max="15615" width="7.875" style="1" customWidth="1"/>
    <col min="15616" max="15616" width="35.00390625" style="1" customWidth="1"/>
    <col min="15617" max="15617" width="18.75390625" style="1" customWidth="1"/>
    <col min="15618" max="15618" width="10.00390625" style="1" customWidth="1"/>
    <col min="15619" max="15619" width="10.50390625" style="1" customWidth="1"/>
    <col min="15620" max="15620" width="10.875" style="1" customWidth="1"/>
    <col min="15621" max="15621" width="8.50390625" style="1" customWidth="1"/>
    <col min="15622" max="15870" width="9.125" style="1" customWidth="1"/>
    <col min="15871" max="15871" width="7.875" style="1" customWidth="1"/>
    <col min="15872" max="15872" width="35.00390625" style="1" customWidth="1"/>
    <col min="15873" max="15873" width="18.75390625" style="1" customWidth="1"/>
    <col min="15874" max="15874" width="10.00390625" style="1" customWidth="1"/>
    <col min="15875" max="15875" width="10.50390625" style="1" customWidth="1"/>
    <col min="15876" max="15876" width="10.875" style="1" customWidth="1"/>
    <col min="15877" max="15877" width="8.50390625" style="1" customWidth="1"/>
    <col min="15878" max="16126" width="9.125" style="1" customWidth="1"/>
    <col min="16127" max="16127" width="7.875" style="1" customWidth="1"/>
    <col min="16128" max="16128" width="35.00390625" style="1" customWidth="1"/>
    <col min="16129" max="16129" width="18.75390625" style="1" customWidth="1"/>
    <col min="16130" max="16130" width="10.00390625" style="1" customWidth="1"/>
    <col min="16131" max="16131" width="10.50390625" style="1" customWidth="1"/>
    <col min="16132" max="16132" width="10.875" style="1" customWidth="1"/>
    <col min="16133" max="16133" width="8.50390625" style="1" customWidth="1"/>
    <col min="16134" max="16384" width="9.125" style="1" customWidth="1"/>
  </cols>
  <sheetData>
    <row r="1" spans="1:8" ht="12.75">
      <c r="A1" s="94"/>
      <c r="B1" s="62"/>
      <c r="C1" s="330" t="s">
        <v>580</v>
      </c>
      <c r="D1" s="330"/>
      <c r="E1" s="330"/>
      <c r="F1" s="330"/>
      <c r="G1" s="146"/>
      <c r="H1" s="146"/>
    </row>
    <row r="2" spans="1:8" ht="12.75">
      <c r="A2" s="94"/>
      <c r="B2" s="62"/>
      <c r="C2" s="331" t="s">
        <v>378</v>
      </c>
      <c r="D2" s="331"/>
      <c r="E2" s="331"/>
      <c r="F2" s="331"/>
      <c r="G2" s="147"/>
      <c r="H2" s="147"/>
    </row>
    <row r="3" spans="1:8" ht="12.75">
      <c r="A3" s="94"/>
      <c r="B3" s="62"/>
      <c r="C3" s="332" t="s">
        <v>1132</v>
      </c>
      <c r="D3" s="332"/>
      <c r="E3" s="332"/>
      <c r="F3" s="332"/>
      <c r="G3" s="148"/>
      <c r="H3" s="148"/>
    </row>
    <row r="4" spans="1:6" ht="12.75">
      <c r="A4" s="94"/>
      <c r="B4" s="62"/>
      <c r="C4" s="62"/>
      <c r="D4" s="62"/>
      <c r="E4" s="94"/>
      <c r="F4" s="94"/>
    </row>
    <row r="5" spans="1:6" ht="12.75">
      <c r="A5" s="333" t="s">
        <v>523</v>
      </c>
      <c r="B5" s="333"/>
      <c r="C5" s="333"/>
      <c r="D5" s="333"/>
      <c r="E5" s="333"/>
      <c r="F5" s="333"/>
    </row>
    <row r="6" spans="1:6" ht="18.6" customHeight="1">
      <c r="A6" s="333" t="s">
        <v>1130</v>
      </c>
      <c r="B6" s="333"/>
      <c r="C6" s="333"/>
      <c r="D6" s="333"/>
      <c r="E6" s="333"/>
      <c r="F6" s="333"/>
    </row>
    <row r="7" spans="1:6" ht="24" customHeight="1">
      <c r="A7" s="333"/>
      <c r="B7" s="333"/>
      <c r="C7" s="333"/>
      <c r="D7" s="333"/>
      <c r="E7" s="333"/>
      <c r="F7" s="333"/>
    </row>
    <row r="8" spans="1:6" ht="12.75">
      <c r="A8" s="94"/>
      <c r="B8" s="62"/>
      <c r="C8" s="62"/>
      <c r="D8" s="62"/>
      <c r="E8" s="94"/>
      <c r="F8" s="94" t="s">
        <v>565</v>
      </c>
    </row>
    <row r="9" spans="1:6" ht="50.4">
      <c r="A9" s="151" t="s">
        <v>444</v>
      </c>
      <c r="B9" s="123" t="s">
        <v>524</v>
      </c>
      <c r="C9" s="151" t="s">
        <v>525</v>
      </c>
      <c r="D9" s="123" t="s">
        <v>18</v>
      </c>
      <c r="E9" s="119" t="s">
        <v>564</v>
      </c>
      <c r="F9" s="123" t="s">
        <v>559</v>
      </c>
    </row>
    <row r="10" spans="1:6" ht="33.6">
      <c r="A10" s="119">
        <v>1</v>
      </c>
      <c r="B10" s="9" t="s">
        <v>7</v>
      </c>
      <c r="C10" s="327" t="s">
        <v>526</v>
      </c>
      <c r="D10" s="11" t="s">
        <v>40</v>
      </c>
      <c r="E10" s="95">
        <f>E11+E13</f>
        <v>21441.3</v>
      </c>
      <c r="F10" s="95">
        <f>F11+F13</f>
        <v>19516.300000000003</v>
      </c>
    </row>
    <row r="11" spans="1:6" ht="12.75">
      <c r="A11" s="119" t="s">
        <v>527</v>
      </c>
      <c r="B11" s="9" t="s">
        <v>528</v>
      </c>
      <c r="C11" s="328"/>
      <c r="D11" s="11" t="s">
        <v>363</v>
      </c>
      <c r="E11" s="61">
        <f>E12</f>
        <v>18848.1</v>
      </c>
      <c r="F11" s="61">
        <f>F12</f>
        <v>18805.4</v>
      </c>
    </row>
    <row r="12" spans="1:6" ht="84">
      <c r="A12" s="119" t="s">
        <v>529</v>
      </c>
      <c r="B12" s="9" t="s">
        <v>530</v>
      </c>
      <c r="C12" s="56" t="s">
        <v>531</v>
      </c>
      <c r="D12" s="11" t="s">
        <v>363</v>
      </c>
      <c r="E12" s="61">
        <f>'№8 ведом.'!F108+'№8 ведом.'!F110+'№8 ведом.'!F112</f>
        <v>18848.1</v>
      </c>
      <c r="F12" s="61">
        <f>'№8 ведом.'!G108+'№8 ведом.'!G110+'№8 ведом.'!G112</f>
        <v>18805.4</v>
      </c>
    </row>
    <row r="13" spans="1:6" ht="12.75">
      <c r="A13" s="119" t="s">
        <v>532</v>
      </c>
      <c r="B13" s="9" t="s">
        <v>8</v>
      </c>
      <c r="C13" s="119" t="s">
        <v>526</v>
      </c>
      <c r="D13" s="11" t="s">
        <v>31</v>
      </c>
      <c r="E13" s="61">
        <f>E14+E15</f>
        <v>2593.2</v>
      </c>
      <c r="F13" s="61">
        <f>F14+F15</f>
        <v>710.9000000000001</v>
      </c>
    </row>
    <row r="14" spans="1:6" ht="84">
      <c r="A14" s="119" t="s">
        <v>533</v>
      </c>
      <c r="B14" s="9" t="s">
        <v>534</v>
      </c>
      <c r="C14" s="327" t="s">
        <v>531</v>
      </c>
      <c r="D14" s="11" t="s">
        <v>31</v>
      </c>
      <c r="E14" s="119">
        <f>'№8 ведом.'!F120+'№8 ведом.'!F122</f>
        <v>710.8999999999999</v>
      </c>
      <c r="F14" s="149">
        <f>'№8 ведом.'!G120+'№8 ведом.'!G122</f>
        <v>710.9000000000001</v>
      </c>
    </row>
    <row r="15" spans="1:6" ht="84">
      <c r="A15" s="119" t="s">
        <v>535</v>
      </c>
      <c r="B15" s="9" t="s">
        <v>536</v>
      </c>
      <c r="C15" s="328"/>
      <c r="D15" s="11" t="s">
        <v>31</v>
      </c>
      <c r="E15" s="61">
        <f>'№8 ведом.'!F124</f>
        <v>1882.3</v>
      </c>
      <c r="F15" s="61">
        <f>'№8 ведом.'!G124</f>
        <v>0</v>
      </c>
    </row>
    <row r="16" spans="1:6" ht="12.75">
      <c r="A16" s="119">
        <v>2</v>
      </c>
      <c r="B16" s="9" t="s">
        <v>74</v>
      </c>
      <c r="C16" s="329" t="s">
        <v>526</v>
      </c>
      <c r="D16" s="11" t="s">
        <v>23</v>
      </c>
      <c r="E16" s="95">
        <f>E18</f>
        <v>7590</v>
      </c>
      <c r="F16" s="95">
        <f>F18</f>
        <v>1800</v>
      </c>
    </row>
    <row r="17" spans="1:6" ht="12.75">
      <c r="A17" s="119" t="s">
        <v>537</v>
      </c>
      <c r="B17" s="9" t="s">
        <v>377</v>
      </c>
      <c r="C17" s="329"/>
      <c r="D17" s="11" t="s">
        <v>24</v>
      </c>
      <c r="E17" s="61">
        <f>E18</f>
        <v>7590</v>
      </c>
      <c r="F17" s="61">
        <f>F18</f>
        <v>1800</v>
      </c>
    </row>
    <row r="18" spans="1:6" ht="67.2">
      <c r="A18" s="119" t="s">
        <v>538</v>
      </c>
      <c r="B18" s="9" t="s">
        <v>312</v>
      </c>
      <c r="C18" s="119" t="s">
        <v>531</v>
      </c>
      <c r="D18" s="11" t="s">
        <v>24</v>
      </c>
      <c r="E18" s="61">
        <f>'№8 ведом.'!F181</f>
        <v>7590</v>
      </c>
      <c r="F18" s="61">
        <f>'№8 ведом.'!G181</f>
        <v>1800</v>
      </c>
    </row>
    <row r="19" spans="1:6" ht="22.2" customHeight="1">
      <c r="A19" s="150"/>
      <c r="B19" s="37" t="s">
        <v>539</v>
      </c>
      <c r="C19" s="150" t="s">
        <v>526</v>
      </c>
      <c r="D19" s="150" t="s">
        <v>540</v>
      </c>
      <c r="E19" s="52">
        <f>E10+E16</f>
        <v>29031.3</v>
      </c>
      <c r="F19" s="52">
        <f>F10+F16</f>
        <v>21316.300000000003</v>
      </c>
    </row>
  </sheetData>
  <mergeCells count="9">
    <mergeCell ref="C10:C11"/>
    <mergeCell ref="C14:C15"/>
    <mergeCell ref="C16:C17"/>
    <mergeCell ref="C1:F1"/>
    <mergeCell ref="C2:F2"/>
    <mergeCell ref="C3:F3"/>
    <mergeCell ref="A5:F5"/>
    <mergeCell ref="A6:F6"/>
    <mergeCell ref="A7:F7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 topLeftCell="A1">
      <selection activeCell="J10" sqref="J10"/>
    </sheetView>
  </sheetViews>
  <sheetFormatPr defaultColWidth="9.125" defaultRowHeight="12.75"/>
  <cols>
    <col min="1" max="1" width="8.125" style="2" customWidth="1"/>
    <col min="2" max="2" width="36.375" style="62" customWidth="1"/>
    <col min="3" max="3" width="29.125" style="62" customWidth="1"/>
    <col min="4" max="4" width="7.375" style="2" customWidth="1"/>
    <col min="5" max="5" width="17.50390625" style="2" customWidth="1"/>
    <col min="6" max="6" width="14.50390625" style="62" customWidth="1"/>
    <col min="7" max="16384" width="9.125" style="62" customWidth="1"/>
  </cols>
  <sheetData>
    <row r="1" spans="3:6" ht="12.75">
      <c r="C1" s="189"/>
      <c r="D1" s="334" t="s">
        <v>582</v>
      </c>
      <c r="E1" s="334"/>
      <c r="F1" s="334"/>
    </row>
    <row r="2" spans="3:6" ht="12.75">
      <c r="C2" s="334" t="s">
        <v>541</v>
      </c>
      <c r="D2" s="334"/>
      <c r="E2" s="334"/>
      <c r="F2" s="334"/>
    </row>
    <row r="3" spans="3:6" ht="12.75">
      <c r="C3" s="334" t="s">
        <v>1132</v>
      </c>
      <c r="D3" s="334"/>
      <c r="E3" s="334"/>
      <c r="F3" s="334"/>
    </row>
    <row r="5" spans="1:6" ht="30.6" customHeight="1">
      <c r="A5" s="335" t="s">
        <v>542</v>
      </c>
      <c r="B5" s="335"/>
      <c r="C5" s="335"/>
      <c r="D5" s="335"/>
      <c r="E5" s="335"/>
      <c r="F5" s="335"/>
    </row>
    <row r="6" spans="1:6" ht="29.4" customHeight="1">
      <c r="A6" s="315" t="s">
        <v>1127</v>
      </c>
      <c r="B6" s="315"/>
      <c r="C6" s="315"/>
      <c r="D6" s="315"/>
      <c r="E6" s="315"/>
      <c r="F6" s="315"/>
    </row>
    <row r="8" spans="1:6" ht="50.4">
      <c r="A8" s="3" t="s">
        <v>444</v>
      </c>
      <c r="B8" s="119" t="s">
        <v>543</v>
      </c>
      <c r="C8" s="119" t="s">
        <v>544</v>
      </c>
      <c r="D8" s="3" t="s">
        <v>545</v>
      </c>
      <c r="E8" s="158" t="s">
        <v>558</v>
      </c>
      <c r="F8" s="119" t="s">
        <v>559</v>
      </c>
    </row>
    <row r="9" spans="1:6" s="106" customFormat="1" ht="94.8" customHeight="1">
      <c r="A9" s="121">
        <v>1</v>
      </c>
      <c r="B9" s="9" t="s">
        <v>546</v>
      </c>
      <c r="C9" s="151" t="s">
        <v>78</v>
      </c>
      <c r="D9" s="166" t="s">
        <v>32</v>
      </c>
      <c r="E9" s="21">
        <f>'№8 ведом.'!F138</f>
        <v>566.7</v>
      </c>
      <c r="F9" s="21">
        <f>'№8 ведом.'!G138</f>
        <v>566.7</v>
      </c>
    </row>
    <row r="10" spans="1:6" s="106" customFormat="1" ht="12.75">
      <c r="A10" s="102"/>
      <c r="B10" s="152" t="s">
        <v>547</v>
      </c>
      <c r="C10" s="153"/>
      <c r="D10" s="11"/>
      <c r="E10" s="22">
        <f>SUM(E9:E9)</f>
        <v>566.7</v>
      </c>
      <c r="F10" s="22">
        <f>SUM(F9:F9)</f>
        <v>566.7</v>
      </c>
    </row>
  </sheetData>
  <mergeCells count="5">
    <mergeCell ref="D1:F1"/>
    <mergeCell ref="C2:F2"/>
    <mergeCell ref="C3:F3"/>
    <mergeCell ref="A5:F5"/>
    <mergeCell ref="A6:F6"/>
  </mergeCells>
  <printOptions/>
  <pageMargins left="0.7086614173228347" right="0.5118110236220472" top="0.35433070866141736" bottom="0.35433070866141736" header="0.31496062992125984" footer="0.31496062992125984"/>
  <pageSetup fitToHeight="0" fitToWidth="1" horizontalDpi="600" verticalDpi="600" orientation="portrait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workbookViewId="0" topLeftCell="A1">
      <selection activeCell="F8" sqref="F8"/>
    </sheetView>
  </sheetViews>
  <sheetFormatPr defaultColWidth="14.625" defaultRowHeight="12.75"/>
  <cols>
    <col min="1" max="1" width="8.375" style="154" customWidth="1"/>
    <col min="2" max="2" width="53.125" style="154" customWidth="1"/>
    <col min="3" max="3" width="18.00390625" style="154" customWidth="1"/>
    <col min="4" max="4" width="17.50390625" style="154" customWidth="1"/>
    <col min="5" max="5" width="32.375" style="154" customWidth="1"/>
    <col min="6" max="255" width="14.625" style="154" customWidth="1"/>
    <col min="256" max="256" width="8.375" style="154" customWidth="1"/>
    <col min="257" max="257" width="53.125" style="154" customWidth="1"/>
    <col min="258" max="258" width="18.00390625" style="154" customWidth="1"/>
    <col min="259" max="260" width="17.50390625" style="154" customWidth="1"/>
    <col min="261" max="261" width="32.375" style="154" customWidth="1"/>
    <col min="262" max="511" width="14.625" style="154" customWidth="1"/>
    <col min="512" max="512" width="8.375" style="154" customWidth="1"/>
    <col min="513" max="513" width="53.125" style="154" customWidth="1"/>
    <col min="514" max="514" width="18.00390625" style="154" customWidth="1"/>
    <col min="515" max="516" width="17.50390625" style="154" customWidth="1"/>
    <col min="517" max="517" width="32.375" style="154" customWidth="1"/>
    <col min="518" max="767" width="14.625" style="154" customWidth="1"/>
    <col min="768" max="768" width="8.375" style="154" customWidth="1"/>
    <col min="769" max="769" width="53.125" style="154" customWidth="1"/>
    <col min="770" max="770" width="18.00390625" style="154" customWidth="1"/>
    <col min="771" max="772" width="17.50390625" style="154" customWidth="1"/>
    <col min="773" max="773" width="32.375" style="154" customWidth="1"/>
    <col min="774" max="1023" width="14.625" style="154" customWidth="1"/>
    <col min="1024" max="1024" width="8.375" style="154" customWidth="1"/>
    <col min="1025" max="1025" width="53.125" style="154" customWidth="1"/>
    <col min="1026" max="1026" width="18.00390625" style="154" customWidth="1"/>
    <col min="1027" max="1028" width="17.50390625" style="154" customWidth="1"/>
    <col min="1029" max="1029" width="32.375" style="154" customWidth="1"/>
    <col min="1030" max="1279" width="14.625" style="154" customWidth="1"/>
    <col min="1280" max="1280" width="8.375" style="154" customWidth="1"/>
    <col min="1281" max="1281" width="53.125" style="154" customWidth="1"/>
    <col min="1282" max="1282" width="18.00390625" style="154" customWidth="1"/>
    <col min="1283" max="1284" width="17.50390625" style="154" customWidth="1"/>
    <col min="1285" max="1285" width="32.375" style="154" customWidth="1"/>
    <col min="1286" max="1535" width="14.625" style="154" customWidth="1"/>
    <col min="1536" max="1536" width="8.375" style="154" customWidth="1"/>
    <col min="1537" max="1537" width="53.125" style="154" customWidth="1"/>
    <col min="1538" max="1538" width="18.00390625" style="154" customWidth="1"/>
    <col min="1539" max="1540" width="17.50390625" style="154" customWidth="1"/>
    <col min="1541" max="1541" width="32.375" style="154" customWidth="1"/>
    <col min="1542" max="1791" width="14.625" style="154" customWidth="1"/>
    <col min="1792" max="1792" width="8.375" style="154" customWidth="1"/>
    <col min="1793" max="1793" width="53.125" style="154" customWidth="1"/>
    <col min="1794" max="1794" width="18.00390625" style="154" customWidth="1"/>
    <col min="1795" max="1796" width="17.50390625" style="154" customWidth="1"/>
    <col min="1797" max="1797" width="32.375" style="154" customWidth="1"/>
    <col min="1798" max="2047" width="14.625" style="154" customWidth="1"/>
    <col min="2048" max="2048" width="8.375" style="154" customWidth="1"/>
    <col min="2049" max="2049" width="53.125" style="154" customWidth="1"/>
    <col min="2050" max="2050" width="18.00390625" style="154" customWidth="1"/>
    <col min="2051" max="2052" width="17.50390625" style="154" customWidth="1"/>
    <col min="2053" max="2053" width="32.375" style="154" customWidth="1"/>
    <col min="2054" max="2303" width="14.625" style="154" customWidth="1"/>
    <col min="2304" max="2304" width="8.375" style="154" customWidth="1"/>
    <col min="2305" max="2305" width="53.125" style="154" customWidth="1"/>
    <col min="2306" max="2306" width="18.00390625" style="154" customWidth="1"/>
    <col min="2307" max="2308" width="17.50390625" style="154" customWidth="1"/>
    <col min="2309" max="2309" width="32.375" style="154" customWidth="1"/>
    <col min="2310" max="2559" width="14.625" style="154" customWidth="1"/>
    <col min="2560" max="2560" width="8.375" style="154" customWidth="1"/>
    <col min="2561" max="2561" width="53.125" style="154" customWidth="1"/>
    <col min="2562" max="2562" width="18.00390625" style="154" customWidth="1"/>
    <col min="2563" max="2564" width="17.50390625" style="154" customWidth="1"/>
    <col min="2565" max="2565" width="32.375" style="154" customWidth="1"/>
    <col min="2566" max="2815" width="14.625" style="154" customWidth="1"/>
    <col min="2816" max="2816" width="8.375" style="154" customWidth="1"/>
    <col min="2817" max="2817" width="53.125" style="154" customWidth="1"/>
    <col min="2818" max="2818" width="18.00390625" style="154" customWidth="1"/>
    <col min="2819" max="2820" width="17.50390625" style="154" customWidth="1"/>
    <col min="2821" max="2821" width="32.375" style="154" customWidth="1"/>
    <col min="2822" max="3071" width="14.625" style="154" customWidth="1"/>
    <col min="3072" max="3072" width="8.375" style="154" customWidth="1"/>
    <col min="3073" max="3073" width="53.125" style="154" customWidth="1"/>
    <col min="3074" max="3074" width="18.00390625" style="154" customWidth="1"/>
    <col min="3075" max="3076" width="17.50390625" style="154" customWidth="1"/>
    <col min="3077" max="3077" width="32.375" style="154" customWidth="1"/>
    <col min="3078" max="3327" width="14.625" style="154" customWidth="1"/>
    <col min="3328" max="3328" width="8.375" style="154" customWidth="1"/>
    <col min="3329" max="3329" width="53.125" style="154" customWidth="1"/>
    <col min="3330" max="3330" width="18.00390625" style="154" customWidth="1"/>
    <col min="3331" max="3332" width="17.50390625" style="154" customWidth="1"/>
    <col min="3333" max="3333" width="32.375" style="154" customWidth="1"/>
    <col min="3334" max="3583" width="14.625" style="154" customWidth="1"/>
    <col min="3584" max="3584" width="8.375" style="154" customWidth="1"/>
    <col min="3585" max="3585" width="53.125" style="154" customWidth="1"/>
    <col min="3586" max="3586" width="18.00390625" style="154" customWidth="1"/>
    <col min="3587" max="3588" width="17.50390625" style="154" customWidth="1"/>
    <col min="3589" max="3589" width="32.375" style="154" customWidth="1"/>
    <col min="3590" max="3839" width="14.625" style="154" customWidth="1"/>
    <col min="3840" max="3840" width="8.375" style="154" customWidth="1"/>
    <col min="3841" max="3841" width="53.125" style="154" customWidth="1"/>
    <col min="3842" max="3842" width="18.00390625" style="154" customWidth="1"/>
    <col min="3843" max="3844" width="17.50390625" style="154" customWidth="1"/>
    <col min="3845" max="3845" width="32.375" style="154" customWidth="1"/>
    <col min="3846" max="4095" width="14.625" style="154" customWidth="1"/>
    <col min="4096" max="4096" width="8.375" style="154" customWidth="1"/>
    <col min="4097" max="4097" width="53.125" style="154" customWidth="1"/>
    <col min="4098" max="4098" width="18.00390625" style="154" customWidth="1"/>
    <col min="4099" max="4100" width="17.50390625" style="154" customWidth="1"/>
    <col min="4101" max="4101" width="32.375" style="154" customWidth="1"/>
    <col min="4102" max="4351" width="14.625" style="154" customWidth="1"/>
    <col min="4352" max="4352" width="8.375" style="154" customWidth="1"/>
    <col min="4353" max="4353" width="53.125" style="154" customWidth="1"/>
    <col min="4354" max="4354" width="18.00390625" style="154" customWidth="1"/>
    <col min="4355" max="4356" width="17.50390625" style="154" customWidth="1"/>
    <col min="4357" max="4357" width="32.375" style="154" customWidth="1"/>
    <col min="4358" max="4607" width="14.625" style="154" customWidth="1"/>
    <col min="4608" max="4608" width="8.375" style="154" customWidth="1"/>
    <col min="4609" max="4609" width="53.125" style="154" customWidth="1"/>
    <col min="4610" max="4610" width="18.00390625" style="154" customWidth="1"/>
    <col min="4611" max="4612" width="17.50390625" style="154" customWidth="1"/>
    <col min="4613" max="4613" width="32.375" style="154" customWidth="1"/>
    <col min="4614" max="4863" width="14.625" style="154" customWidth="1"/>
    <col min="4864" max="4864" width="8.375" style="154" customWidth="1"/>
    <col min="4865" max="4865" width="53.125" style="154" customWidth="1"/>
    <col min="4866" max="4866" width="18.00390625" style="154" customWidth="1"/>
    <col min="4867" max="4868" width="17.50390625" style="154" customWidth="1"/>
    <col min="4869" max="4869" width="32.375" style="154" customWidth="1"/>
    <col min="4870" max="5119" width="14.625" style="154" customWidth="1"/>
    <col min="5120" max="5120" width="8.375" style="154" customWidth="1"/>
    <col min="5121" max="5121" width="53.125" style="154" customWidth="1"/>
    <col min="5122" max="5122" width="18.00390625" style="154" customWidth="1"/>
    <col min="5123" max="5124" width="17.50390625" style="154" customWidth="1"/>
    <col min="5125" max="5125" width="32.375" style="154" customWidth="1"/>
    <col min="5126" max="5375" width="14.625" style="154" customWidth="1"/>
    <col min="5376" max="5376" width="8.375" style="154" customWidth="1"/>
    <col min="5377" max="5377" width="53.125" style="154" customWidth="1"/>
    <col min="5378" max="5378" width="18.00390625" style="154" customWidth="1"/>
    <col min="5379" max="5380" width="17.50390625" style="154" customWidth="1"/>
    <col min="5381" max="5381" width="32.375" style="154" customWidth="1"/>
    <col min="5382" max="5631" width="14.625" style="154" customWidth="1"/>
    <col min="5632" max="5632" width="8.375" style="154" customWidth="1"/>
    <col min="5633" max="5633" width="53.125" style="154" customWidth="1"/>
    <col min="5634" max="5634" width="18.00390625" style="154" customWidth="1"/>
    <col min="5635" max="5636" width="17.50390625" style="154" customWidth="1"/>
    <col min="5637" max="5637" width="32.375" style="154" customWidth="1"/>
    <col min="5638" max="5887" width="14.625" style="154" customWidth="1"/>
    <col min="5888" max="5888" width="8.375" style="154" customWidth="1"/>
    <col min="5889" max="5889" width="53.125" style="154" customWidth="1"/>
    <col min="5890" max="5890" width="18.00390625" style="154" customWidth="1"/>
    <col min="5891" max="5892" width="17.50390625" style="154" customWidth="1"/>
    <col min="5893" max="5893" width="32.375" style="154" customWidth="1"/>
    <col min="5894" max="6143" width="14.625" style="154" customWidth="1"/>
    <col min="6144" max="6144" width="8.375" style="154" customWidth="1"/>
    <col min="6145" max="6145" width="53.125" style="154" customWidth="1"/>
    <col min="6146" max="6146" width="18.00390625" style="154" customWidth="1"/>
    <col min="6147" max="6148" width="17.50390625" style="154" customWidth="1"/>
    <col min="6149" max="6149" width="32.375" style="154" customWidth="1"/>
    <col min="6150" max="6399" width="14.625" style="154" customWidth="1"/>
    <col min="6400" max="6400" width="8.375" style="154" customWidth="1"/>
    <col min="6401" max="6401" width="53.125" style="154" customWidth="1"/>
    <col min="6402" max="6402" width="18.00390625" style="154" customWidth="1"/>
    <col min="6403" max="6404" width="17.50390625" style="154" customWidth="1"/>
    <col min="6405" max="6405" width="32.375" style="154" customWidth="1"/>
    <col min="6406" max="6655" width="14.625" style="154" customWidth="1"/>
    <col min="6656" max="6656" width="8.375" style="154" customWidth="1"/>
    <col min="6657" max="6657" width="53.125" style="154" customWidth="1"/>
    <col min="6658" max="6658" width="18.00390625" style="154" customWidth="1"/>
    <col min="6659" max="6660" width="17.50390625" style="154" customWidth="1"/>
    <col min="6661" max="6661" width="32.375" style="154" customWidth="1"/>
    <col min="6662" max="6911" width="14.625" style="154" customWidth="1"/>
    <col min="6912" max="6912" width="8.375" style="154" customWidth="1"/>
    <col min="6913" max="6913" width="53.125" style="154" customWidth="1"/>
    <col min="6914" max="6914" width="18.00390625" style="154" customWidth="1"/>
    <col min="6915" max="6916" width="17.50390625" style="154" customWidth="1"/>
    <col min="6917" max="6917" width="32.375" style="154" customWidth="1"/>
    <col min="6918" max="7167" width="14.625" style="154" customWidth="1"/>
    <col min="7168" max="7168" width="8.375" style="154" customWidth="1"/>
    <col min="7169" max="7169" width="53.125" style="154" customWidth="1"/>
    <col min="7170" max="7170" width="18.00390625" style="154" customWidth="1"/>
    <col min="7171" max="7172" width="17.50390625" style="154" customWidth="1"/>
    <col min="7173" max="7173" width="32.375" style="154" customWidth="1"/>
    <col min="7174" max="7423" width="14.625" style="154" customWidth="1"/>
    <col min="7424" max="7424" width="8.375" style="154" customWidth="1"/>
    <col min="7425" max="7425" width="53.125" style="154" customWidth="1"/>
    <col min="7426" max="7426" width="18.00390625" style="154" customWidth="1"/>
    <col min="7427" max="7428" width="17.50390625" style="154" customWidth="1"/>
    <col min="7429" max="7429" width="32.375" style="154" customWidth="1"/>
    <col min="7430" max="7679" width="14.625" style="154" customWidth="1"/>
    <col min="7680" max="7680" width="8.375" style="154" customWidth="1"/>
    <col min="7681" max="7681" width="53.125" style="154" customWidth="1"/>
    <col min="7682" max="7682" width="18.00390625" style="154" customWidth="1"/>
    <col min="7683" max="7684" width="17.50390625" style="154" customWidth="1"/>
    <col min="7685" max="7685" width="32.375" style="154" customWidth="1"/>
    <col min="7686" max="7935" width="14.625" style="154" customWidth="1"/>
    <col min="7936" max="7936" width="8.375" style="154" customWidth="1"/>
    <col min="7937" max="7937" width="53.125" style="154" customWidth="1"/>
    <col min="7938" max="7938" width="18.00390625" style="154" customWidth="1"/>
    <col min="7939" max="7940" width="17.50390625" style="154" customWidth="1"/>
    <col min="7941" max="7941" width="32.375" style="154" customWidth="1"/>
    <col min="7942" max="8191" width="14.625" style="154" customWidth="1"/>
    <col min="8192" max="8192" width="8.375" style="154" customWidth="1"/>
    <col min="8193" max="8193" width="53.125" style="154" customWidth="1"/>
    <col min="8194" max="8194" width="18.00390625" style="154" customWidth="1"/>
    <col min="8195" max="8196" width="17.50390625" style="154" customWidth="1"/>
    <col min="8197" max="8197" width="32.375" style="154" customWidth="1"/>
    <col min="8198" max="8447" width="14.625" style="154" customWidth="1"/>
    <col min="8448" max="8448" width="8.375" style="154" customWidth="1"/>
    <col min="8449" max="8449" width="53.125" style="154" customWidth="1"/>
    <col min="8450" max="8450" width="18.00390625" style="154" customWidth="1"/>
    <col min="8451" max="8452" width="17.50390625" style="154" customWidth="1"/>
    <col min="8453" max="8453" width="32.375" style="154" customWidth="1"/>
    <col min="8454" max="8703" width="14.625" style="154" customWidth="1"/>
    <col min="8704" max="8704" width="8.375" style="154" customWidth="1"/>
    <col min="8705" max="8705" width="53.125" style="154" customWidth="1"/>
    <col min="8706" max="8706" width="18.00390625" style="154" customWidth="1"/>
    <col min="8707" max="8708" width="17.50390625" style="154" customWidth="1"/>
    <col min="8709" max="8709" width="32.375" style="154" customWidth="1"/>
    <col min="8710" max="8959" width="14.625" style="154" customWidth="1"/>
    <col min="8960" max="8960" width="8.375" style="154" customWidth="1"/>
    <col min="8961" max="8961" width="53.125" style="154" customWidth="1"/>
    <col min="8962" max="8962" width="18.00390625" style="154" customWidth="1"/>
    <col min="8963" max="8964" width="17.50390625" style="154" customWidth="1"/>
    <col min="8965" max="8965" width="32.375" style="154" customWidth="1"/>
    <col min="8966" max="9215" width="14.625" style="154" customWidth="1"/>
    <col min="9216" max="9216" width="8.375" style="154" customWidth="1"/>
    <col min="9217" max="9217" width="53.125" style="154" customWidth="1"/>
    <col min="9218" max="9218" width="18.00390625" style="154" customWidth="1"/>
    <col min="9219" max="9220" width="17.50390625" style="154" customWidth="1"/>
    <col min="9221" max="9221" width="32.375" style="154" customWidth="1"/>
    <col min="9222" max="9471" width="14.625" style="154" customWidth="1"/>
    <col min="9472" max="9472" width="8.375" style="154" customWidth="1"/>
    <col min="9473" max="9473" width="53.125" style="154" customWidth="1"/>
    <col min="9474" max="9474" width="18.00390625" style="154" customWidth="1"/>
    <col min="9475" max="9476" width="17.50390625" style="154" customWidth="1"/>
    <col min="9477" max="9477" width="32.375" style="154" customWidth="1"/>
    <col min="9478" max="9727" width="14.625" style="154" customWidth="1"/>
    <col min="9728" max="9728" width="8.375" style="154" customWidth="1"/>
    <col min="9729" max="9729" width="53.125" style="154" customWidth="1"/>
    <col min="9730" max="9730" width="18.00390625" style="154" customWidth="1"/>
    <col min="9731" max="9732" width="17.50390625" style="154" customWidth="1"/>
    <col min="9733" max="9733" width="32.375" style="154" customWidth="1"/>
    <col min="9734" max="9983" width="14.625" style="154" customWidth="1"/>
    <col min="9984" max="9984" width="8.375" style="154" customWidth="1"/>
    <col min="9985" max="9985" width="53.125" style="154" customWidth="1"/>
    <col min="9986" max="9986" width="18.00390625" style="154" customWidth="1"/>
    <col min="9987" max="9988" width="17.50390625" style="154" customWidth="1"/>
    <col min="9989" max="9989" width="32.375" style="154" customWidth="1"/>
    <col min="9990" max="10239" width="14.625" style="154" customWidth="1"/>
    <col min="10240" max="10240" width="8.375" style="154" customWidth="1"/>
    <col min="10241" max="10241" width="53.125" style="154" customWidth="1"/>
    <col min="10242" max="10242" width="18.00390625" style="154" customWidth="1"/>
    <col min="10243" max="10244" width="17.50390625" style="154" customWidth="1"/>
    <col min="10245" max="10245" width="32.375" style="154" customWidth="1"/>
    <col min="10246" max="10495" width="14.625" style="154" customWidth="1"/>
    <col min="10496" max="10496" width="8.375" style="154" customWidth="1"/>
    <col min="10497" max="10497" width="53.125" style="154" customWidth="1"/>
    <col min="10498" max="10498" width="18.00390625" style="154" customWidth="1"/>
    <col min="10499" max="10500" width="17.50390625" style="154" customWidth="1"/>
    <col min="10501" max="10501" width="32.375" style="154" customWidth="1"/>
    <col min="10502" max="10751" width="14.625" style="154" customWidth="1"/>
    <col min="10752" max="10752" width="8.375" style="154" customWidth="1"/>
    <col min="10753" max="10753" width="53.125" style="154" customWidth="1"/>
    <col min="10754" max="10754" width="18.00390625" style="154" customWidth="1"/>
    <col min="10755" max="10756" width="17.50390625" style="154" customWidth="1"/>
    <col min="10757" max="10757" width="32.375" style="154" customWidth="1"/>
    <col min="10758" max="11007" width="14.625" style="154" customWidth="1"/>
    <col min="11008" max="11008" width="8.375" style="154" customWidth="1"/>
    <col min="11009" max="11009" width="53.125" style="154" customWidth="1"/>
    <col min="11010" max="11010" width="18.00390625" style="154" customWidth="1"/>
    <col min="11011" max="11012" width="17.50390625" style="154" customWidth="1"/>
    <col min="11013" max="11013" width="32.375" style="154" customWidth="1"/>
    <col min="11014" max="11263" width="14.625" style="154" customWidth="1"/>
    <col min="11264" max="11264" width="8.375" style="154" customWidth="1"/>
    <col min="11265" max="11265" width="53.125" style="154" customWidth="1"/>
    <col min="11266" max="11266" width="18.00390625" style="154" customWidth="1"/>
    <col min="11267" max="11268" width="17.50390625" style="154" customWidth="1"/>
    <col min="11269" max="11269" width="32.375" style="154" customWidth="1"/>
    <col min="11270" max="11519" width="14.625" style="154" customWidth="1"/>
    <col min="11520" max="11520" width="8.375" style="154" customWidth="1"/>
    <col min="11521" max="11521" width="53.125" style="154" customWidth="1"/>
    <col min="11522" max="11522" width="18.00390625" style="154" customWidth="1"/>
    <col min="11523" max="11524" width="17.50390625" style="154" customWidth="1"/>
    <col min="11525" max="11525" width="32.375" style="154" customWidth="1"/>
    <col min="11526" max="11775" width="14.625" style="154" customWidth="1"/>
    <col min="11776" max="11776" width="8.375" style="154" customWidth="1"/>
    <col min="11777" max="11777" width="53.125" style="154" customWidth="1"/>
    <col min="11778" max="11778" width="18.00390625" style="154" customWidth="1"/>
    <col min="11779" max="11780" width="17.50390625" style="154" customWidth="1"/>
    <col min="11781" max="11781" width="32.375" style="154" customWidth="1"/>
    <col min="11782" max="12031" width="14.625" style="154" customWidth="1"/>
    <col min="12032" max="12032" width="8.375" style="154" customWidth="1"/>
    <col min="12033" max="12033" width="53.125" style="154" customWidth="1"/>
    <col min="12034" max="12034" width="18.00390625" style="154" customWidth="1"/>
    <col min="12035" max="12036" width="17.50390625" style="154" customWidth="1"/>
    <col min="12037" max="12037" width="32.375" style="154" customWidth="1"/>
    <col min="12038" max="12287" width="14.625" style="154" customWidth="1"/>
    <col min="12288" max="12288" width="8.375" style="154" customWidth="1"/>
    <col min="12289" max="12289" width="53.125" style="154" customWidth="1"/>
    <col min="12290" max="12290" width="18.00390625" style="154" customWidth="1"/>
    <col min="12291" max="12292" width="17.50390625" style="154" customWidth="1"/>
    <col min="12293" max="12293" width="32.375" style="154" customWidth="1"/>
    <col min="12294" max="12543" width="14.625" style="154" customWidth="1"/>
    <col min="12544" max="12544" width="8.375" style="154" customWidth="1"/>
    <col min="12545" max="12545" width="53.125" style="154" customWidth="1"/>
    <col min="12546" max="12546" width="18.00390625" style="154" customWidth="1"/>
    <col min="12547" max="12548" width="17.50390625" style="154" customWidth="1"/>
    <col min="12549" max="12549" width="32.375" style="154" customWidth="1"/>
    <col min="12550" max="12799" width="14.625" style="154" customWidth="1"/>
    <col min="12800" max="12800" width="8.375" style="154" customWidth="1"/>
    <col min="12801" max="12801" width="53.125" style="154" customWidth="1"/>
    <col min="12802" max="12802" width="18.00390625" style="154" customWidth="1"/>
    <col min="12803" max="12804" width="17.50390625" style="154" customWidth="1"/>
    <col min="12805" max="12805" width="32.375" style="154" customWidth="1"/>
    <col min="12806" max="13055" width="14.625" style="154" customWidth="1"/>
    <col min="13056" max="13056" width="8.375" style="154" customWidth="1"/>
    <col min="13057" max="13057" width="53.125" style="154" customWidth="1"/>
    <col min="13058" max="13058" width="18.00390625" style="154" customWidth="1"/>
    <col min="13059" max="13060" width="17.50390625" style="154" customWidth="1"/>
    <col min="13061" max="13061" width="32.375" style="154" customWidth="1"/>
    <col min="13062" max="13311" width="14.625" style="154" customWidth="1"/>
    <col min="13312" max="13312" width="8.375" style="154" customWidth="1"/>
    <col min="13313" max="13313" width="53.125" style="154" customWidth="1"/>
    <col min="13314" max="13314" width="18.00390625" style="154" customWidth="1"/>
    <col min="13315" max="13316" width="17.50390625" style="154" customWidth="1"/>
    <col min="13317" max="13317" width="32.375" style="154" customWidth="1"/>
    <col min="13318" max="13567" width="14.625" style="154" customWidth="1"/>
    <col min="13568" max="13568" width="8.375" style="154" customWidth="1"/>
    <col min="13569" max="13569" width="53.125" style="154" customWidth="1"/>
    <col min="13570" max="13570" width="18.00390625" style="154" customWidth="1"/>
    <col min="13571" max="13572" width="17.50390625" style="154" customWidth="1"/>
    <col min="13573" max="13573" width="32.375" style="154" customWidth="1"/>
    <col min="13574" max="13823" width="14.625" style="154" customWidth="1"/>
    <col min="13824" max="13824" width="8.375" style="154" customWidth="1"/>
    <col min="13825" max="13825" width="53.125" style="154" customWidth="1"/>
    <col min="13826" max="13826" width="18.00390625" style="154" customWidth="1"/>
    <col min="13827" max="13828" width="17.50390625" style="154" customWidth="1"/>
    <col min="13829" max="13829" width="32.375" style="154" customWidth="1"/>
    <col min="13830" max="14079" width="14.625" style="154" customWidth="1"/>
    <col min="14080" max="14080" width="8.375" style="154" customWidth="1"/>
    <col min="14081" max="14081" width="53.125" style="154" customWidth="1"/>
    <col min="14082" max="14082" width="18.00390625" style="154" customWidth="1"/>
    <col min="14083" max="14084" width="17.50390625" style="154" customWidth="1"/>
    <col min="14085" max="14085" width="32.375" style="154" customWidth="1"/>
    <col min="14086" max="14335" width="14.625" style="154" customWidth="1"/>
    <col min="14336" max="14336" width="8.375" style="154" customWidth="1"/>
    <col min="14337" max="14337" width="53.125" style="154" customWidth="1"/>
    <col min="14338" max="14338" width="18.00390625" style="154" customWidth="1"/>
    <col min="14339" max="14340" width="17.50390625" style="154" customWidth="1"/>
    <col min="14341" max="14341" width="32.375" style="154" customWidth="1"/>
    <col min="14342" max="14591" width="14.625" style="154" customWidth="1"/>
    <col min="14592" max="14592" width="8.375" style="154" customWidth="1"/>
    <col min="14593" max="14593" width="53.125" style="154" customWidth="1"/>
    <col min="14594" max="14594" width="18.00390625" style="154" customWidth="1"/>
    <col min="14595" max="14596" width="17.50390625" style="154" customWidth="1"/>
    <col min="14597" max="14597" width="32.375" style="154" customWidth="1"/>
    <col min="14598" max="14847" width="14.625" style="154" customWidth="1"/>
    <col min="14848" max="14848" width="8.375" style="154" customWidth="1"/>
    <col min="14849" max="14849" width="53.125" style="154" customWidth="1"/>
    <col min="14850" max="14850" width="18.00390625" style="154" customWidth="1"/>
    <col min="14851" max="14852" width="17.50390625" style="154" customWidth="1"/>
    <col min="14853" max="14853" width="32.375" style="154" customWidth="1"/>
    <col min="14854" max="15103" width="14.625" style="154" customWidth="1"/>
    <col min="15104" max="15104" width="8.375" style="154" customWidth="1"/>
    <col min="15105" max="15105" width="53.125" style="154" customWidth="1"/>
    <col min="15106" max="15106" width="18.00390625" style="154" customWidth="1"/>
    <col min="15107" max="15108" width="17.50390625" style="154" customWidth="1"/>
    <col min="15109" max="15109" width="32.375" style="154" customWidth="1"/>
    <col min="15110" max="15359" width="14.625" style="154" customWidth="1"/>
    <col min="15360" max="15360" width="8.375" style="154" customWidth="1"/>
    <col min="15361" max="15361" width="53.125" style="154" customWidth="1"/>
    <col min="15362" max="15362" width="18.00390625" style="154" customWidth="1"/>
    <col min="15363" max="15364" width="17.50390625" style="154" customWidth="1"/>
    <col min="15365" max="15365" width="32.375" style="154" customWidth="1"/>
    <col min="15366" max="15615" width="14.625" style="154" customWidth="1"/>
    <col min="15616" max="15616" width="8.375" style="154" customWidth="1"/>
    <col min="15617" max="15617" width="53.125" style="154" customWidth="1"/>
    <col min="15618" max="15618" width="18.00390625" style="154" customWidth="1"/>
    <col min="15619" max="15620" width="17.50390625" style="154" customWidth="1"/>
    <col min="15621" max="15621" width="32.375" style="154" customWidth="1"/>
    <col min="15622" max="15871" width="14.625" style="154" customWidth="1"/>
    <col min="15872" max="15872" width="8.375" style="154" customWidth="1"/>
    <col min="15873" max="15873" width="53.125" style="154" customWidth="1"/>
    <col min="15874" max="15874" width="18.00390625" style="154" customWidth="1"/>
    <col min="15875" max="15876" width="17.50390625" style="154" customWidth="1"/>
    <col min="15877" max="15877" width="32.375" style="154" customWidth="1"/>
    <col min="15878" max="16127" width="14.625" style="154" customWidth="1"/>
    <col min="16128" max="16128" width="8.375" style="154" customWidth="1"/>
    <col min="16129" max="16129" width="53.125" style="154" customWidth="1"/>
    <col min="16130" max="16130" width="18.00390625" style="154" customWidth="1"/>
    <col min="16131" max="16132" width="17.50390625" style="154" customWidth="1"/>
    <col min="16133" max="16133" width="32.375" style="154" customWidth="1"/>
    <col min="16134" max="16384" width="14.625" style="154" customWidth="1"/>
  </cols>
  <sheetData>
    <row r="1" spans="2:4" ht="12.75">
      <c r="B1" s="190"/>
      <c r="C1" s="190"/>
      <c r="D1" s="191" t="s">
        <v>581</v>
      </c>
    </row>
    <row r="2" spans="2:5" ht="19.5" customHeight="1">
      <c r="B2" s="339" t="s">
        <v>548</v>
      </c>
      <c r="C2" s="339"/>
      <c r="D2" s="339"/>
      <c r="E2" s="155"/>
    </row>
    <row r="3" spans="2:4" ht="12.75">
      <c r="B3" s="340" t="s">
        <v>1138</v>
      </c>
      <c r="C3" s="340"/>
      <c r="D3" s="340"/>
    </row>
    <row r="4" spans="2:4" ht="12.75">
      <c r="B4" s="165"/>
      <c r="C4" s="165"/>
      <c r="D4" s="165"/>
    </row>
    <row r="5" spans="1:4" ht="55.5" customHeight="1">
      <c r="A5" s="341" t="s">
        <v>560</v>
      </c>
      <c r="B5" s="341"/>
      <c r="C5" s="341"/>
      <c r="D5" s="341"/>
    </row>
    <row r="6" spans="1:4" ht="28.5" customHeight="1">
      <c r="A6" s="342" t="s">
        <v>549</v>
      </c>
      <c r="B6" s="342"/>
      <c r="C6" s="342"/>
      <c r="D6" s="342"/>
    </row>
    <row r="7" spans="1:4" ht="16.5" customHeight="1">
      <c r="A7" s="156" t="s">
        <v>550</v>
      </c>
      <c r="B7" s="156" t="s">
        <v>561</v>
      </c>
      <c r="C7" s="156"/>
      <c r="D7" s="156"/>
    </row>
    <row r="8" ht="12.75">
      <c r="A8" s="157"/>
    </row>
    <row r="9" spans="1:4" ht="12.75">
      <c r="A9" s="338" t="s">
        <v>562</v>
      </c>
      <c r="B9" s="338"/>
      <c r="C9" s="338"/>
      <c r="D9" s="338"/>
    </row>
    <row r="10" spans="1:5" ht="25.5" customHeight="1">
      <c r="A10" s="336"/>
      <c r="B10" s="336"/>
      <c r="C10" s="336"/>
      <c r="D10" s="336"/>
      <c r="E10" s="1"/>
    </row>
    <row r="11" spans="1:4" ht="16.5" customHeight="1">
      <c r="A11" s="337" t="s">
        <v>563</v>
      </c>
      <c r="B11" s="337"/>
      <c r="C11" s="337"/>
      <c r="D11" s="337"/>
    </row>
    <row r="12" ht="12.75">
      <c r="D12" s="154" t="s">
        <v>551</v>
      </c>
    </row>
    <row r="13" spans="1:4" s="159" customFormat="1" ht="50.4">
      <c r="A13" s="158" t="s">
        <v>552</v>
      </c>
      <c r="B13" s="158" t="s">
        <v>553</v>
      </c>
      <c r="C13" s="158" t="s">
        <v>558</v>
      </c>
      <c r="D13" s="158" t="s">
        <v>559</v>
      </c>
    </row>
    <row r="14" spans="1:4" s="159" customFormat="1" ht="12.75">
      <c r="A14" s="158">
        <v>1</v>
      </c>
      <c r="B14" s="158">
        <v>2</v>
      </c>
      <c r="C14" s="158">
        <v>3</v>
      </c>
      <c r="D14" s="158">
        <v>4</v>
      </c>
    </row>
    <row r="15" spans="1:4" ht="50.4">
      <c r="A15" s="158">
        <v>1</v>
      </c>
      <c r="B15" s="160" t="s">
        <v>554</v>
      </c>
      <c r="C15" s="161">
        <f>C17</f>
        <v>12000</v>
      </c>
      <c r="D15" s="161">
        <f aca="true" t="shared" si="0" ref="D15">D17</f>
        <v>12000</v>
      </c>
    </row>
    <row r="16" spans="1:4" ht="12.75">
      <c r="A16" s="162"/>
      <c r="B16" s="160" t="s">
        <v>555</v>
      </c>
      <c r="C16" s="158"/>
      <c r="D16" s="161"/>
    </row>
    <row r="17" spans="1:4" ht="19.2" customHeight="1">
      <c r="A17" s="162"/>
      <c r="B17" s="160" t="s">
        <v>556</v>
      </c>
      <c r="C17" s="161">
        <v>12000</v>
      </c>
      <c r="D17" s="161">
        <f>D18</f>
        <v>12000</v>
      </c>
    </row>
    <row r="18" spans="1:4" ht="74.4" customHeight="1">
      <c r="A18" s="162"/>
      <c r="B18" s="160" t="s">
        <v>557</v>
      </c>
      <c r="C18" s="161">
        <v>12000</v>
      </c>
      <c r="D18" s="161">
        <v>12000</v>
      </c>
    </row>
    <row r="19" spans="1:4" ht="12.75">
      <c r="A19" s="162"/>
      <c r="B19" s="163" t="s">
        <v>547</v>
      </c>
      <c r="C19" s="164">
        <f>C15</f>
        <v>12000</v>
      </c>
      <c r="D19" s="164">
        <f>D15</f>
        <v>12000</v>
      </c>
    </row>
  </sheetData>
  <mergeCells count="7">
    <mergeCell ref="A10:D10"/>
    <mergeCell ref="A11:D11"/>
    <mergeCell ref="A9:D9"/>
    <mergeCell ref="B2:D2"/>
    <mergeCell ref="B3:D3"/>
    <mergeCell ref="A5:D5"/>
    <mergeCell ref="A6:D6"/>
  </mergeCells>
  <printOptions/>
  <pageMargins left="0.7086614173228347" right="0.31496062992125984" top="0.35433070866141736" bottom="0.15748031496062992" header="0.31496062992125984" footer="0.31496062992125984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I9" sqref="I9"/>
    </sheetView>
  </sheetViews>
  <sheetFormatPr defaultColWidth="9.125" defaultRowHeight="12.75"/>
  <cols>
    <col min="1" max="1" width="54.875" style="1" customWidth="1"/>
    <col min="2" max="2" width="18.625" style="1" customWidth="1"/>
    <col min="3" max="3" width="26.625" style="1" customWidth="1"/>
    <col min="4" max="4" width="13.125" style="96" customWidth="1"/>
    <col min="5" max="5" width="12.375" style="1" customWidth="1"/>
    <col min="6" max="256" width="9.125" style="1" customWidth="1"/>
    <col min="257" max="257" width="54.875" style="1" customWidth="1"/>
    <col min="258" max="258" width="18.625" style="1" customWidth="1"/>
    <col min="259" max="259" width="26.625" style="1" customWidth="1"/>
    <col min="260" max="260" width="13.125" style="1" customWidth="1"/>
    <col min="261" max="261" width="12.375" style="1" customWidth="1"/>
    <col min="262" max="512" width="9.125" style="1" customWidth="1"/>
    <col min="513" max="513" width="54.875" style="1" customWidth="1"/>
    <col min="514" max="514" width="18.625" style="1" customWidth="1"/>
    <col min="515" max="515" width="26.625" style="1" customWidth="1"/>
    <col min="516" max="516" width="13.125" style="1" customWidth="1"/>
    <col min="517" max="517" width="12.375" style="1" customWidth="1"/>
    <col min="518" max="768" width="9.125" style="1" customWidth="1"/>
    <col min="769" max="769" width="54.875" style="1" customWidth="1"/>
    <col min="770" max="770" width="18.625" style="1" customWidth="1"/>
    <col min="771" max="771" width="26.625" style="1" customWidth="1"/>
    <col min="772" max="772" width="13.125" style="1" customWidth="1"/>
    <col min="773" max="773" width="12.375" style="1" customWidth="1"/>
    <col min="774" max="1024" width="9.125" style="1" customWidth="1"/>
    <col min="1025" max="1025" width="54.875" style="1" customWidth="1"/>
    <col min="1026" max="1026" width="18.625" style="1" customWidth="1"/>
    <col min="1027" max="1027" width="26.625" style="1" customWidth="1"/>
    <col min="1028" max="1028" width="13.125" style="1" customWidth="1"/>
    <col min="1029" max="1029" width="12.375" style="1" customWidth="1"/>
    <col min="1030" max="1280" width="9.125" style="1" customWidth="1"/>
    <col min="1281" max="1281" width="54.875" style="1" customWidth="1"/>
    <col min="1282" max="1282" width="18.625" style="1" customWidth="1"/>
    <col min="1283" max="1283" width="26.625" style="1" customWidth="1"/>
    <col min="1284" max="1284" width="13.125" style="1" customWidth="1"/>
    <col min="1285" max="1285" width="12.375" style="1" customWidth="1"/>
    <col min="1286" max="1536" width="9.125" style="1" customWidth="1"/>
    <col min="1537" max="1537" width="54.875" style="1" customWidth="1"/>
    <col min="1538" max="1538" width="18.625" style="1" customWidth="1"/>
    <col min="1539" max="1539" width="26.625" style="1" customWidth="1"/>
    <col min="1540" max="1540" width="13.125" style="1" customWidth="1"/>
    <col min="1541" max="1541" width="12.375" style="1" customWidth="1"/>
    <col min="1542" max="1792" width="9.125" style="1" customWidth="1"/>
    <col min="1793" max="1793" width="54.875" style="1" customWidth="1"/>
    <col min="1794" max="1794" width="18.625" style="1" customWidth="1"/>
    <col min="1795" max="1795" width="26.625" style="1" customWidth="1"/>
    <col min="1796" max="1796" width="13.125" style="1" customWidth="1"/>
    <col min="1797" max="1797" width="12.375" style="1" customWidth="1"/>
    <col min="1798" max="2048" width="9.125" style="1" customWidth="1"/>
    <col min="2049" max="2049" width="54.875" style="1" customWidth="1"/>
    <col min="2050" max="2050" width="18.625" style="1" customWidth="1"/>
    <col min="2051" max="2051" width="26.625" style="1" customWidth="1"/>
    <col min="2052" max="2052" width="13.125" style="1" customWidth="1"/>
    <col min="2053" max="2053" width="12.375" style="1" customWidth="1"/>
    <col min="2054" max="2304" width="9.125" style="1" customWidth="1"/>
    <col min="2305" max="2305" width="54.875" style="1" customWidth="1"/>
    <col min="2306" max="2306" width="18.625" style="1" customWidth="1"/>
    <col min="2307" max="2307" width="26.625" style="1" customWidth="1"/>
    <col min="2308" max="2308" width="13.125" style="1" customWidth="1"/>
    <col min="2309" max="2309" width="12.375" style="1" customWidth="1"/>
    <col min="2310" max="2560" width="9.125" style="1" customWidth="1"/>
    <col min="2561" max="2561" width="54.875" style="1" customWidth="1"/>
    <col min="2562" max="2562" width="18.625" style="1" customWidth="1"/>
    <col min="2563" max="2563" width="26.625" style="1" customWidth="1"/>
    <col min="2564" max="2564" width="13.125" style="1" customWidth="1"/>
    <col min="2565" max="2565" width="12.375" style="1" customWidth="1"/>
    <col min="2566" max="2816" width="9.125" style="1" customWidth="1"/>
    <col min="2817" max="2817" width="54.875" style="1" customWidth="1"/>
    <col min="2818" max="2818" width="18.625" style="1" customWidth="1"/>
    <col min="2819" max="2819" width="26.625" style="1" customWidth="1"/>
    <col min="2820" max="2820" width="13.125" style="1" customWidth="1"/>
    <col min="2821" max="2821" width="12.375" style="1" customWidth="1"/>
    <col min="2822" max="3072" width="9.125" style="1" customWidth="1"/>
    <col min="3073" max="3073" width="54.875" style="1" customWidth="1"/>
    <col min="3074" max="3074" width="18.625" style="1" customWidth="1"/>
    <col min="3075" max="3075" width="26.625" style="1" customWidth="1"/>
    <col min="3076" max="3076" width="13.125" style="1" customWidth="1"/>
    <col min="3077" max="3077" width="12.375" style="1" customWidth="1"/>
    <col min="3078" max="3328" width="9.125" style="1" customWidth="1"/>
    <col min="3329" max="3329" width="54.875" style="1" customWidth="1"/>
    <col min="3330" max="3330" width="18.625" style="1" customWidth="1"/>
    <col min="3331" max="3331" width="26.625" style="1" customWidth="1"/>
    <col min="3332" max="3332" width="13.125" style="1" customWidth="1"/>
    <col min="3333" max="3333" width="12.375" style="1" customWidth="1"/>
    <col min="3334" max="3584" width="9.125" style="1" customWidth="1"/>
    <col min="3585" max="3585" width="54.875" style="1" customWidth="1"/>
    <col min="3586" max="3586" width="18.625" style="1" customWidth="1"/>
    <col min="3587" max="3587" width="26.625" style="1" customWidth="1"/>
    <col min="3588" max="3588" width="13.125" style="1" customWidth="1"/>
    <col min="3589" max="3589" width="12.375" style="1" customWidth="1"/>
    <col min="3590" max="3840" width="9.125" style="1" customWidth="1"/>
    <col min="3841" max="3841" width="54.875" style="1" customWidth="1"/>
    <col min="3842" max="3842" width="18.625" style="1" customWidth="1"/>
    <col min="3843" max="3843" width="26.625" style="1" customWidth="1"/>
    <col min="3844" max="3844" width="13.125" style="1" customWidth="1"/>
    <col min="3845" max="3845" width="12.375" style="1" customWidth="1"/>
    <col min="3846" max="4096" width="9.125" style="1" customWidth="1"/>
    <col min="4097" max="4097" width="54.875" style="1" customWidth="1"/>
    <col min="4098" max="4098" width="18.625" style="1" customWidth="1"/>
    <col min="4099" max="4099" width="26.625" style="1" customWidth="1"/>
    <col min="4100" max="4100" width="13.125" style="1" customWidth="1"/>
    <col min="4101" max="4101" width="12.375" style="1" customWidth="1"/>
    <col min="4102" max="4352" width="9.125" style="1" customWidth="1"/>
    <col min="4353" max="4353" width="54.875" style="1" customWidth="1"/>
    <col min="4354" max="4354" width="18.625" style="1" customWidth="1"/>
    <col min="4355" max="4355" width="26.625" style="1" customWidth="1"/>
    <col min="4356" max="4356" width="13.125" style="1" customWidth="1"/>
    <col min="4357" max="4357" width="12.375" style="1" customWidth="1"/>
    <col min="4358" max="4608" width="9.125" style="1" customWidth="1"/>
    <col min="4609" max="4609" width="54.875" style="1" customWidth="1"/>
    <col min="4610" max="4610" width="18.625" style="1" customWidth="1"/>
    <col min="4611" max="4611" width="26.625" style="1" customWidth="1"/>
    <col min="4612" max="4612" width="13.125" style="1" customWidth="1"/>
    <col min="4613" max="4613" width="12.375" style="1" customWidth="1"/>
    <col min="4614" max="4864" width="9.125" style="1" customWidth="1"/>
    <col min="4865" max="4865" width="54.875" style="1" customWidth="1"/>
    <col min="4866" max="4866" width="18.625" style="1" customWidth="1"/>
    <col min="4867" max="4867" width="26.625" style="1" customWidth="1"/>
    <col min="4868" max="4868" width="13.125" style="1" customWidth="1"/>
    <col min="4869" max="4869" width="12.375" style="1" customWidth="1"/>
    <col min="4870" max="5120" width="9.125" style="1" customWidth="1"/>
    <col min="5121" max="5121" width="54.875" style="1" customWidth="1"/>
    <col min="5122" max="5122" width="18.625" style="1" customWidth="1"/>
    <col min="5123" max="5123" width="26.625" style="1" customWidth="1"/>
    <col min="5124" max="5124" width="13.125" style="1" customWidth="1"/>
    <col min="5125" max="5125" width="12.375" style="1" customWidth="1"/>
    <col min="5126" max="5376" width="9.125" style="1" customWidth="1"/>
    <col min="5377" max="5377" width="54.875" style="1" customWidth="1"/>
    <col min="5378" max="5378" width="18.625" style="1" customWidth="1"/>
    <col min="5379" max="5379" width="26.625" style="1" customWidth="1"/>
    <col min="5380" max="5380" width="13.125" style="1" customWidth="1"/>
    <col min="5381" max="5381" width="12.375" style="1" customWidth="1"/>
    <col min="5382" max="5632" width="9.125" style="1" customWidth="1"/>
    <col min="5633" max="5633" width="54.875" style="1" customWidth="1"/>
    <col min="5634" max="5634" width="18.625" style="1" customWidth="1"/>
    <col min="5635" max="5635" width="26.625" style="1" customWidth="1"/>
    <col min="5636" max="5636" width="13.125" style="1" customWidth="1"/>
    <col min="5637" max="5637" width="12.375" style="1" customWidth="1"/>
    <col min="5638" max="5888" width="9.125" style="1" customWidth="1"/>
    <col min="5889" max="5889" width="54.875" style="1" customWidth="1"/>
    <col min="5890" max="5890" width="18.625" style="1" customWidth="1"/>
    <col min="5891" max="5891" width="26.625" style="1" customWidth="1"/>
    <col min="5892" max="5892" width="13.125" style="1" customWidth="1"/>
    <col min="5893" max="5893" width="12.375" style="1" customWidth="1"/>
    <col min="5894" max="6144" width="9.125" style="1" customWidth="1"/>
    <col min="6145" max="6145" width="54.875" style="1" customWidth="1"/>
    <col min="6146" max="6146" width="18.625" style="1" customWidth="1"/>
    <col min="6147" max="6147" width="26.625" style="1" customWidth="1"/>
    <col min="6148" max="6148" width="13.125" style="1" customWidth="1"/>
    <col min="6149" max="6149" width="12.375" style="1" customWidth="1"/>
    <col min="6150" max="6400" width="9.125" style="1" customWidth="1"/>
    <col min="6401" max="6401" width="54.875" style="1" customWidth="1"/>
    <col min="6402" max="6402" width="18.625" style="1" customWidth="1"/>
    <col min="6403" max="6403" width="26.625" style="1" customWidth="1"/>
    <col min="6404" max="6404" width="13.125" style="1" customWidth="1"/>
    <col min="6405" max="6405" width="12.375" style="1" customWidth="1"/>
    <col min="6406" max="6656" width="9.125" style="1" customWidth="1"/>
    <col min="6657" max="6657" width="54.875" style="1" customWidth="1"/>
    <col min="6658" max="6658" width="18.625" style="1" customWidth="1"/>
    <col min="6659" max="6659" width="26.625" style="1" customWidth="1"/>
    <col min="6660" max="6660" width="13.125" style="1" customWidth="1"/>
    <col min="6661" max="6661" width="12.375" style="1" customWidth="1"/>
    <col min="6662" max="6912" width="9.125" style="1" customWidth="1"/>
    <col min="6913" max="6913" width="54.875" style="1" customWidth="1"/>
    <col min="6914" max="6914" width="18.625" style="1" customWidth="1"/>
    <col min="6915" max="6915" width="26.625" style="1" customWidth="1"/>
    <col min="6916" max="6916" width="13.125" style="1" customWidth="1"/>
    <col min="6917" max="6917" width="12.375" style="1" customWidth="1"/>
    <col min="6918" max="7168" width="9.125" style="1" customWidth="1"/>
    <col min="7169" max="7169" width="54.875" style="1" customWidth="1"/>
    <col min="7170" max="7170" width="18.625" style="1" customWidth="1"/>
    <col min="7171" max="7171" width="26.625" style="1" customWidth="1"/>
    <col min="7172" max="7172" width="13.125" style="1" customWidth="1"/>
    <col min="7173" max="7173" width="12.375" style="1" customWidth="1"/>
    <col min="7174" max="7424" width="9.125" style="1" customWidth="1"/>
    <col min="7425" max="7425" width="54.875" style="1" customWidth="1"/>
    <col min="7426" max="7426" width="18.625" style="1" customWidth="1"/>
    <col min="7427" max="7427" width="26.625" style="1" customWidth="1"/>
    <col min="7428" max="7428" width="13.125" style="1" customWidth="1"/>
    <col min="7429" max="7429" width="12.375" style="1" customWidth="1"/>
    <col min="7430" max="7680" width="9.125" style="1" customWidth="1"/>
    <col min="7681" max="7681" width="54.875" style="1" customWidth="1"/>
    <col min="7682" max="7682" width="18.625" style="1" customWidth="1"/>
    <col min="7683" max="7683" width="26.625" style="1" customWidth="1"/>
    <col min="7684" max="7684" width="13.125" style="1" customWidth="1"/>
    <col min="7685" max="7685" width="12.375" style="1" customWidth="1"/>
    <col min="7686" max="7936" width="9.125" style="1" customWidth="1"/>
    <col min="7937" max="7937" width="54.875" style="1" customWidth="1"/>
    <col min="7938" max="7938" width="18.625" style="1" customWidth="1"/>
    <col min="7939" max="7939" width="26.625" style="1" customWidth="1"/>
    <col min="7940" max="7940" width="13.125" style="1" customWidth="1"/>
    <col min="7941" max="7941" width="12.375" style="1" customWidth="1"/>
    <col min="7942" max="8192" width="9.125" style="1" customWidth="1"/>
    <col min="8193" max="8193" width="54.875" style="1" customWidth="1"/>
    <col min="8194" max="8194" width="18.625" style="1" customWidth="1"/>
    <col min="8195" max="8195" width="26.625" style="1" customWidth="1"/>
    <col min="8196" max="8196" width="13.125" style="1" customWidth="1"/>
    <col min="8197" max="8197" width="12.375" style="1" customWidth="1"/>
    <col min="8198" max="8448" width="9.125" style="1" customWidth="1"/>
    <col min="8449" max="8449" width="54.875" style="1" customWidth="1"/>
    <col min="8450" max="8450" width="18.625" style="1" customWidth="1"/>
    <col min="8451" max="8451" width="26.625" style="1" customWidth="1"/>
    <col min="8452" max="8452" width="13.125" style="1" customWidth="1"/>
    <col min="8453" max="8453" width="12.375" style="1" customWidth="1"/>
    <col min="8454" max="8704" width="9.125" style="1" customWidth="1"/>
    <col min="8705" max="8705" width="54.875" style="1" customWidth="1"/>
    <col min="8706" max="8706" width="18.625" style="1" customWidth="1"/>
    <col min="8707" max="8707" width="26.625" style="1" customWidth="1"/>
    <col min="8708" max="8708" width="13.125" style="1" customWidth="1"/>
    <col min="8709" max="8709" width="12.375" style="1" customWidth="1"/>
    <col min="8710" max="8960" width="9.125" style="1" customWidth="1"/>
    <col min="8961" max="8961" width="54.875" style="1" customWidth="1"/>
    <col min="8962" max="8962" width="18.625" style="1" customWidth="1"/>
    <col min="8963" max="8963" width="26.625" style="1" customWidth="1"/>
    <col min="8964" max="8964" width="13.125" style="1" customWidth="1"/>
    <col min="8965" max="8965" width="12.375" style="1" customWidth="1"/>
    <col min="8966" max="9216" width="9.125" style="1" customWidth="1"/>
    <col min="9217" max="9217" width="54.875" style="1" customWidth="1"/>
    <col min="9218" max="9218" width="18.625" style="1" customWidth="1"/>
    <col min="9219" max="9219" width="26.625" style="1" customWidth="1"/>
    <col min="9220" max="9220" width="13.125" style="1" customWidth="1"/>
    <col min="9221" max="9221" width="12.375" style="1" customWidth="1"/>
    <col min="9222" max="9472" width="9.125" style="1" customWidth="1"/>
    <col min="9473" max="9473" width="54.875" style="1" customWidth="1"/>
    <col min="9474" max="9474" width="18.625" style="1" customWidth="1"/>
    <col min="9475" max="9475" width="26.625" style="1" customWidth="1"/>
    <col min="9476" max="9476" width="13.125" style="1" customWidth="1"/>
    <col min="9477" max="9477" width="12.375" style="1" customWidth="1"/>
    <col min="9478" max="9728" width="9.125" style="1" customWidth="1"/>
    <col min="9729" max="9729" width="54.875" style="1" customWidth="1"/>
    <col min="9730" max="9730" width="18.625" style="1" customWidth="1"/>
    <col min="9731" max="9731" width="26.625" style="1" customWidth="1"/>
    <col min="9732" max="9732" width="13.125" style="1" customWidth="1"/>
    <col min="9733" max="9733" width="12.375" style="1" customWidth="1"/>
    <col min="9734" max="9984" width="9.125" style="1" customWidth="1"/>
    <col min="9985" max="9985" width="54.875" style="1" customWidth="1"/>
    <col min="9986" max="9986" width="18.625" style="1" customWidth="1"/>
    <col min="9987" max="9987" width="26.625" style="1" customWidth="1"/>
    <col min="9988" max="9988" width="13.125" style="1" customWidth="1"/>
    <col min="9989" max="9989" width="12.375" style="1" customWidth="1"/>
    <col min="9990" max="10240" width="9.125" style="1" customWidth="1"/>
    <col min="10241" max="10241" width="54.875" style="1" customWidth="1"/>
    <col min="10242" max="10242" width="18.625" style="1" customWidth="1"/>
    <col min="10243" max="10243" width="26.625" style="1" customWidth="1"/>
    <col min="10244" max="10244" width="13.125" style="1" customWidth="1"/>
    <col min="10245" max="10245" width="12.375" style="1" customWidth="1"/>
    <col min="10246" max="10496" width="9.125" style="1" customWidth="1"/>
    <col min="10497" max="10497" width="54.875" style="1" customWidth="1"/>
    <col min="10498" max="10498" width="18.625" style="1" customWidth="1"/>
    <col min="10499" max="10499" width="26.625" style="1" customWidth="1"/>
    <col min="10500" max="10500" width="13.125" style="1" customWidth="1"/>
    <col min="10501" max="10501" width="12.375" style="1" customWidth="1"/>
    <col min="10502" max="10752" width="9.125" style="1" customWidth="1"/>
    <col min="10753" max="10753" width="54.875" style="1" customWidth="1"/>
    <col min="10754" max="10754" width="18.625" style="1" customWidth="1"/>
    <col min="10755" max="10755" width="26.625" style="1" customWidth="1"/>
    <col min="10756" max="10756" width="13.125" style="1" customWidth="1"/>
    <col min="10757" max="10757" width="12.375" style="1" customWidth="1"/>
    <col min="10758" max="11008" width="9.125" style="1" customWidth="1"/>
    <col min="11009" max="11009" width="54.875" style="1" customWidth="1"/>
    <col min="11010" max="11010" width="18.625" style="1" customWidth="1"/>
    <col min="11011" max="11011" width="26.625" style="1" customWidth="1"/>
    <col min="11012" max="11012" width="13.125" style="1" customWidth="1"/>
    <col min="11013" max="11013" width="12.375" style="1" customWidth="1"/>
    <col min="11014" max="11264" width="9.125" style="1" customWidth="1"/>
    <col min="11265" max="11265" width="54.875" style="1" customWidth="1"/>
    <col min="11266" max="11266" width="18.625" style="1" customWidth="1"/>
    <col min="11267" max="11267" width="26.625" style="1" customWidth="1"/>
    <col min="11268" max="11268" width="13.125" style="1" customWidth="1"/>
    <col min="11269" max="11269" width="12.375" style="1" customWidth="1"/>
    <col min="11270" max="11520" width="9.125" style="1" customWidth="1"/>
    <col min="11521" max="11521" width="54.875" style="1" customWidth="1"/>
    <col min="11522" max="11522" width="18.625" style="1" customWidth="1"/>
    <col min="11523" max="11523" width="26.625" style="1" customWidth="1"/>
    <col min="11524" max="11524" width="13.125" style="1" customWidth="1"/>
    <col min="11525" max="11525" width="12.375" style="1" customWidth="1"/>
    <col min="11526" max="11776" width="9.125" style="1" customWidth="1"/>
    <col min="11777" max="11777" width="54.875" style="1" customWidth="1"/>
    <col min="11778" max="11778" width="18.625" style="1" customWidth="1"/>
    <col min="11779" max="11779" width="26.625" style="1" customWidth="1"/>
    <col min="11780" max="11780" width="13.125" style="1" customWidth="1"/>
    <col min="11781" max="11781" width="12.375" style="1" customWidth="1"/>
    <col min="11782" max="12032" width="9.125" style="1" customWidth="1"/>
    <col min="12033" max="12033" width="54.875" style="1" customWidth="1"/>
    <col min="12034" max="12034" width="18.625" style="1" customWidth="1"/>
    <col min="12035" max="12035" width="26.625" style="1" customWidth="1"/>
    <col min="12036" max="12036" width="13.125" style="1" customWidth="1"/>
    <col min="12037" max="12037" width="12.375" style="1" customWidth="1"/>
    <col min="12038" max="12288" width="9.125" style="1" customWidth="1"/>
    <col min="12289" max="12289" width="54.875" style="1" customWidth="1"/>
    <col min="12290" max="12290" width="18.625" style="1" customWidth="1"/>
    <col min="12291" max="12291" width="26.625" style="1" customWidth="1"/>
    <col min="12292" max="12292" width="13.125" style="1" customWidth="1"/>
    <col min="12293" max="12293" width="12.375" style="1" customWidth="1"/>
    <col min="12294" max="12544" width="9.125" style="1" customWidth="1"/>
    <col min="12545" max="12545" width="54.875" style="1" customWidth="1"/>
    <col min="12546" max="12546" width="18.625" style="1" customWidth="1"/>
    <col min="12547" max="12547" width="26.625" style="1" customWidth="1"/>
    <col min="12548" max="12548" width="13.125" style="1" customWidth="1"/>
    <col min="12549" max="12549" width="12.375" style="1" customWidth="1"/>
    <col min="12550" max="12800" width="9.125" style="1" customWidth="1"/>
    <col min="12801" max="12801" width="54.875" style="1" customWidth="1"/>
    <col min="12802" max="12802" width="18.625" style="1" customWidth="1"/>
    <col min="12803" max="12803" width="26.625" style="1" customWidth="1"/>
    <col min="12804" max="12804" width="13.125" style="1" customWidth="1"/>
    <col min="12805" max="12805" width="12.375" style="1" customWidth="1"/>
    <col min="12806" max="13056" width="9.125" style="1" customWidth="1"/>
    <col min="13057" max="13057" width="54.875" style="1" customWidth="1"/>
    <col min="13058" max="13058" width="18.625" style="1" customWidth="1"/>
    <col min="13059" max="13059" width="26.625" style="1" customWidth="1"/>
    <col min="13060" max="13060" width="13.125" style="1" customWidth="1"/>
    <col min="13061" max="13061" width="12.375" style="1" customWidth="1"/>
    <col min="13062" max="13312" width="9.125" style="1" customWidth="1"/>
    <col min="13313" max="13313" width="54.875" style="1" customWidth="1"/>
    <col min="13314" max="13314" width="18.625" style="1" customWidth="1"/>
    <col min="13315" max="13315" width="26.625" style="1" customWidth="1"/>
    <col min="13316" max="13316" width="13.125" style="1" customWidth="1"/>
    <col min="13317" max="13317" width="12.375" style="1" customWidth="1"/>
    <col min="13318" max="13568" width="9.125" style="1" customWidth="1"/>
    <col min="13569" max="13569" width="54.875" style="1" customWidth="1"/>
    <col min="13570" max="13570" width="18.625" style="1" customWidth="1"/>
    <col min="13571" max="13571" width="26.625" style="1" customWidth="1"/>
    <col min="13572" max="13572" width="13.125" style="1" customWidth="1"/>
    <col min="13573" max="13573" width="12.375" style="1" customWidth="1"/>
    <col min="13574" max="13824" width="9.125" style="1" customWidth="1"/>
    <col min="13825" max="13825" width="54.875" style="1" customWidth="1"/>
    <col min="13826" max="13826" width="18.625" style="1" customWidth="1"/>
    <col min="13827" max="13827" width="26.625" style="1" customWidth="1"/>
    <col min="13828" max="13828" width="13.125" style="1" customWidth="1"/>
    <col min="13829" max="13829" width="12.375" style="1" customWidth="1"/>
    <col min="13830" max="14080" width="9.125" style="1" customWidth="1"/>
    <col min="14081" max="14081" width="54.875" style="1" customWidth="1"/>
    <col min="14082" max="14082" width="18.625" style="1" customWidth="1"/>
    <col min="14083" max="14083" width="26.625" style="1" customWidth="1"/>
    <col min="14084" max="14084" width="13.125" style="1" customWidth="1"/>
    <col min="14085" max="14085" width="12.375" style="1" customWidth="1"/>
    <col min="14086" max="14336" width="9.125" style="1" customWidth="1"/>
    <col min="14337" max="14337" width="54.875" style="1" customWidth="1"/>
    <col min="14338" max="14338" width="18.625" style="1" customWidth="1"/>
    <col min="14339" max="14339" width="26.625" style="1" customWidth="1"/>
    <col min="14340" max="14340" width="13.125" style="1" customWidth="1"/>
    <col min="14341" max="14341" width="12.375" style="1" customWidth="1"/>
    <col min="14342" max="14592" width="9.125" style="1" customWidth="1"/>
    <col min="14593" max="14593" width="54.875" style="1" customWidth="1"/>
    <col min="14594" max="14594" width="18.625" style="1" customWidth="1"/>
    <col min="14595" max="14595" width="26.625" style="1" customWidth="1"/>
    <col min="14596" max="14596" width="13.125" style="1" customWidth="1"/>
    <col min="14597" max="14597" width="12.375" style="1" customWidth="1"/>
    <col min="14598" max="14848" width="9.125" style="1" customWidth="1"/>
    <col min="14849" max="14849" width="54.875" style="1" customWidth="1"/>
    <col min="14850" max="14850" width="18.625" style="1" customWidth="1"/>
    <col min="14851" max="14851" width="26.625" style="1" customWidth="1"/>
    <col min="14852" max="14852" width="13.125" style="1" customWidth="1"/>
    <col min="14853" max="14853" width="12.375" style="1" customWidth="1"/>
    <col min="14854" max="15104" width="9.125" style="1" customWidth="1"/>
    <col min="15105" max="15105" width="54.875" style="1" customWidth="1"/>
    <col min="15106" max="15106" width="18.625" style="1" customWidth="1"/>
    <col min="15107" max="15107" width="26.625" style="1" customWidth="1"/>
    <col min="15108" max="15108" width="13.125" style="1" customWidth="1"/>
    <col min="15109" max="15109" width="12.375" style="1" customWidth="1"/>
    <col min="15110" max="15360" width="9.125" style="1" customWidth="1"/>
    <col min="15361" max="15361" width="54.875" style="1" customWidth="1"/>
    <col min="15362" max="15362" width="18.625" style="1" customWidth="1"/>
    <col min="15363" max="15363" width="26.625" style="1" customWidth="1"/>
    <col min="15364" max="15364" width="13.125" style="1" customWidth="1"/>
    <col min="15365" max="15365" width="12.375" style="1" customWidth="1"/>
    <col min="15366" max="15616" width="9.125" style="1" customWidth="1"/>
    <col min="15617" max="15617" width="54.875" style="1" customWidth="1"/>
    <col min="15618" max="15618" width="18.625" style="1" customWidth="1"/>
    <col min="15619" max="15619" width="26.625" style="1" customWidth="1"/>
    <col min="15620" max="15620" width="13.125" style="1" customWidth="1"/>
    <col min="15621" max="15621" width="12.375" style="1" customWidth="1"/>
    <col min="15622" max="15872" width="9.125" style="1" customWidth="1"/>
    <col min="15873" max="15873" width="54.875" style="1" customWidth="1"/>
    <col min="15874" max="15874" width="18.625" style="1" customWidth="1"/>
    <col min="15875" max="15875" width="26.625" style="1" customWidth="1"/>
    <col min="15876" max="15876" width="13.125" style="1" customWidth="1"/>
    <col min="15877" max="15877" width="12.375" style="1" customWidth="1"/>
    <col min="15878" max="16128" width="9.125" style="1" customWidth="1"/>
    <col min="16129" max="16129" width="54.875" style="1" customWidth="1"/>
    <col min="16130" max="16130" width="18.625" style="1" customWidth="1"/>
    <col min="16131" max="16131" width="26.625" style="1" customWidth="1"/>
    <col min="16132" max="16132" width="13.125" style="1" customWidth="1"/>
    <col min="16133" max="16133" width="12.375" style="1" customWidth="1"/>
    <col min="16134" max="16384" width="9.125" style="1" customWidth="1"/>
  </cols>
  <sheetData>
    <row r="1" spans="1:5" ht="12.75">
      <c r="A1" s="280" t="s">
        <v>583</v>
      </c>
      <c r="B1" s="280"/>
      <c r="C1" s="280"/>
      <c r="D1" s="280"/>
      <c r="E1" s="280"/>
    </row>
    <row r="2" spans="1:5" ht="12.75">
      <c r="A2" s="270"/>
      <c r="B2" s="270"/>
      <c r="C2" s="280" t="s">
        <v>448</v>
      </c>
      <c r="D2" s="280"/>
      <c r="E2" s="280"/>
    </row>
    <row r="3" spans="1:5" ht="12.75">
      <c r="A3" s="270"/>
      <c r="B3" s="270"/>
      <c r="C3" s="280" t="s">
        <v>1132</v>
      </c>
      <c r="D3" s="280"/>
      <c r="E3" s="280"/>
    </row>
    <row r="6" spans="1:8" ht="40.8" customHeight="1">
      <c r="A6" s="281" t="s">
        <v>1123</v>
      </c>
      <c r="B6" s="281"/>
      <c r="C6" s="281"/>
      <c r="D6" s="281"/>
      <c r="E6" s="281"/>
      <c r="F6" s="198"/>
      <c r="G6" s="198"/>
      <c r="H6" s="198"/>
    </row>
    <row r="7" spans="1:5" ht="14.4" customHeight="1">
      <c r="A7" s="282"/>
      <c r="B7" s="282"/>
      <c r="C7" s="282"/>
      <c r="D7" s="282"/>
      <c r="E7" s="282"/>
    </row>
    <row r="8" ht="12.75">
      <c r="E8" s="1" t="s">
        <v>565</v>
      </c>
    </row>
    <row r="9" spans="1:5" ht="33" customHeight="1">
      <c r="A9" s="283" t="s">
        <v>384</v>
      </c>
      <c r="B9" s="285" t="s">
        <v>584</v>
      </c>
      <c r="C9" s="286"/>
      <c r="D9" s="287" t="s">
        <v>558</v>
      </c>
      <c r="E9" s="289" t="s">
        <v>559</v>
      </c>
    </row>
    <row r="10" spans="1:5" ht="67.2">
      <c r="A10" s="284"/>
      <c r="B10" s="127" t="s">
        <v>585</v>
      </c>
      <c r="C10" s="127" t="s">
        <v>586</v>
      </c>
      <c r="D10" s="288"/>
      <c r="E10" s="290"/>
    </row>
    <row r="11" spans="1:5" ht="12.75">
      <c r="A11" s="195">
        <v>1</v>
      </c>
      <c r="B11" s="195">
        <v>2</v>
      </c>
      <c r="C11" s="199" t="s">
        <v>68</v>
      </c>
      <c r="D11" s="28">
        <v>4</v>
      </c>
      <c r="E11" s="28">
        <v>5</v>
      </c>
    </row>
    <row r="12" spans="1:5" ht="40.8" customHeight="1">
      <c r="A12" s="200" t="s">
        <v>587</v>
      </c>
      <c r="B12" s="16" t="s">
        <v>17</v>
      </c>
      <c r="C12" s="199"/>
      <c r="D12" s="52">
        <v>19322.1</v>
      </c>
      <c r="E12" s="52">
        <f>E13+E14+E15</f>
        <v>4276.199999999953</v>
      </c>
    </row>
    <row r="13" spans="1:5" ht="70.8" customHeight="1">
      <c r="A13" s="110" t="s">
        <v>473</v>
      </c>
      <c r="B13" s="16" t="s">
        <v>17</v>
      </c>
      <c r="C13" s="16" t="s">
        <v>588</v>
      </c>
      <c r="D13" s="111">
        <v>-12000</v>
      </c>
      <c r="E13" s="111">
        <v>-12000</v>
      </c>
    </row>
    <row r="14" spans="1:5" ht="43.2" customHeight="1">
      <c r="A14" s="110" t="s">
        <v>481</v>
      </c>
      <c r="B14" s="16" t="s">
        <v>17</v>
      </c>
      <c r="C14" s="16" t="s">
        <v>589</v>
      </c>
      <c r="D14" s="201">
        <v>-666501</v>
      </c>
      <c r="E14" s="201">
        <v>-673539.4</v>
      </c>
    </row>
    <row r="15" spans="1:5" ht="42" customHeight="1">
      <c r="A15" s="110" t="s">
        <v>487</v>
      </c>
      <c r="B15" s="16" t="s">
        <v>17</v>
      </c>
      <c r="C15" s="16" t="s">
        <v>590</v>
      </c>
      <c r="D15" s="111">
        <v>700790.3</v>
      </c>
      <c r="E15" s="111">
        <v>689815.6</v>
      </c>
    </row>
    <row r="16" spans="1:5" ht="33.6" customHeight="1">
      <c r="A16" s="277" t="s">
        <v>488</v>
      </c>
      <c r="B16" s="277"/>
      <c r="C16" s="277"/>
      <c r="D16" s="109">
        <f>D12</f>
        <v>19322.1</v>
      </c>
      <c r="E16" s="109">
        <f>E12</f>
        <v>4276.199999999953</v>
      </c>
    </row>
    <row r="18" spans="1:3" ht="12.75">
      <c r="A18" s="113"/>
      <c r="B18" s="113"/>
      <c r="C18" s="113"/>
    </row>
    <row r="19" spans="1:3" ht="12.75">
      <c r="A19" s="192"/>
      <c r="B19" s="192"/>
      <c r="C19" s="192"/>
    </row>
  </sheetData>
  <mergeCells count="10">
    <mergeCell ref="A16:C16"/>
    <mergeCell ref="A1:E1"/>
    <mergeCell ref="C2:E2"/>
    <mergeCell ref="C3:E3"/>
    <mergeCell ref="A6:E6"/>
    <mergeCell ref="A7:E7"/>
    <mergeCell ref="A9:A10"/>
    <mergeCell ref="B9:C9"/>
    <mergeCell ref="D9:D10"/>
    <mergeCell ref="E9:E10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F5" sqref="F5"/>
    </sheetView>
  </sheetViews>
  <sheetFormatPr defaultColWidth="9.125" defaultRowHeight="12.75"/>
  <cols>
    <col min="1" max="1" width="58.50390625" style="1" customWidth="1"/>
    <col min="2" max="2" width="29.375" style="1" customWidth="1"/>
    <col min="3" max="3" width="13.50390625" style="96" customWidth="1"/>
    <col min="4" max="4" width="12.375" style="1" customWidth="1"/>
    <col min="5" max="256" width="9.125" style="1" customWidth="1"/>
    <col min="257" max="257" width="58.50390625" style="1" customWidth="1"/>
    <col min="258" max="258" width="29.375" style="1" customWidth="1"/>
    <col min="259" max="259" width="13.50390625" style="1" customWidth="1"/>
    <col min="260" max="260" width="12.375" style="1" customWidth="1"/>
    <col min="261" max="512" width="9.125" style="1" customWidth="1"/>
    <col min="513" max="513" width="58.50390625" style="1" customWidth="1"/>
    <col min="514" max="514" width="29.375" style="1" customWidth="1"/>
    <col min="515" max="515" width="13.50390625" style="1" customWidth="1"/>
    <col min="516" max="516" width="12.375" style="1" customWidth="1"/>
    <col min="517" max="768" width="9.125" style="1" customWidth="1"/>
    <col min="769" max="769" width="58.50390625" style="1" customWidth="1"/>
    <col min="770" max="770" width="29.375" style="1" customWidth="1"/>
    <col min="771" max="771" width="13.50390625" style="1" customWidth="1"/>
    <col min="772" max="772" width="12.375" style="1" customWidth="1"/>
    <col min="773" max="1024" width="9.125" style="1" customWidth="1"/>
    <col min="1025" max="1025" width="58.50390625" style="1" customWidth="1"/>
    <col min="1026" max="1026" width="29.375" style="1" customWidth="1"/>
    <col min="1027" max="1027" width="13.50390625" style="1" customWidth="1"/>
    <col min="1028" max="1028" width="12.375" style="1" customWidth="1"/>
    <col min="1029" max="1280" width="9.125" style="1" customWidth="1"/>
    <col min="1281" max="1281" width="58.50390625" style="1" customWidth="1"/>
    <col min="1282" max="1282" width="29.375" style="1" customWidth="1"/>
    <col min="1283" max="1283" width="13.50390625" style="1" customWidth="1"/>
    <col min="1284" max="1284" width="12.375" style="1" customWidth="1"/>
    <col min="1285" max="1536" width="9.125" style="1" customWidth="1"/>
    <col min="1537" max="1537" width="58.50390625" style="1" customWidth="1"/>
    <col min="1538" max="1538" width="29.375" style="1" customWidth="1"/>
    <col min="1539" max="1539" width="13.50390625" style="1" customWidth="1"/>
    <col min="1540" max="1540" width="12.375" style="1" customWidth="1"/>
    <col min="1541" max="1792" width="9.125" style="1" customWidth="1"/>
    <col min="1793" max="1793" width="58.50390625" style="1" customWidth="1"/>
    <col min="1794" max="1794" width="29.375" style="1" customWidth="1"/>
    <col min="1795" max="1795" width="13.50390625" style="1" customWidth="1"/>
    <col min="1796" max="1796" width="12.375" style="1" customWidth="1"/>
    <col min="1797" max="2048" width="9.125" style="1" customWidth="1"/>
    <col min="2049" max="2049" width="58.50390625" style="1" customWidth="1"/>
    <col min="2050" max="2050" width="29.375" style="1" customWidth="1"/>
    <col min="2051" max="2051" width="13.50390625" style="1" customWidth="1"/>
    <col min="2052" max="2052" width="12.375" style="1" customWidth="1"/>
    <col min="2053" max="2304" width="9.125" style="1" customWidth="1"/>
    <col min="2305" max="2305" width="58.50390625" style="1" customWidth="1"/>
    <col min="2306" max="2306" width="29.375" style="1" customWidth="1"/>
    <col min="2307" max="2307" width="13.50390625" style="1" customWidth="1"/>
    <col min="2308" max="2308" width="12.375" style="1" customWidth="1"/>
    <col min="2309" max="2560" width="9.125" style="1" customWidth="1"/>
    <col min="2561" max="2561" width="58.50390625" style="1" customWidth="1"/>
    <col min="2562" max="2562" width="29.375" style="1" customWidth="1"/>
    <col min="2563" max="2563" width="13.50390625" style="1" customWidth="1"/>
    <col min="2564" max="2564" width="12.375" style="1" customWidth="1"/>
    <col min="2565" max="2816" width="9.125" style="1" customWidth="1"/>
    <col min="2817" max="2817" width="58.50390625" style="1" customWidth="1"/>
    <col min="2818" max="2818" width="29.375" style="1" customWidth="1"/>
    <col min="2819" max="2819" width="13.50390625" style="1" customWidth="1"/>
    <col min="2820" max="2820" width="12.375" style="1" customWidth="1"/>
    <col min="2821" max="3072" width="9.125" style="1" customWidth="1"/>
    <col min="3073" max="3073" width="58.50390625" style="1" customWidth="1"/>
    <col min="3074" max="3074" width="29.375" style="1" customWidth="1"/>
    <col min="3075" max="3075" width="13.50390625" style="1" customWidth="1"/>
    <col min="3076" max="3076" width="12.375" style="1" customWidth="1"/>
    <col min="3077" max="3328" width="9.125" style="1" customWidth="1"/>
    <col min="3329" max="3329" width="58.50390625" style="1" customWidth="1"/>
    <col min="3330" max="3330" width="29.375" style="1" customWidth="1"/>
    <col min="3331" max="3331" width="13.50390625" style="1" customWidth="1"/>
    <col min="3332" max="3332" width="12.375" style="1" customWidth="1"/>
    <col min="3333" max="3584" width="9.125" style="1" customWidth="1"/>
    <col min="3585" max="3585" width="58.50390625" style="1" customWidth="1"/>
    <col min="3586" max="3586" width="29.375" style="1" customWidth="1"/>
    <col min="3587" max="3587" width="13.50390625" style="1" customWidth="1"/>
    <col min="3588" max="3588" width="12.375" style="1" customWidth="1"/>
    <col min="3589" max="3840" width="9.125" style="1" customWidth="1"/>
    <col min="3841" max="3841" width="58.50390625" style="1" customWidth="1"/>
    <col min="3842" max="3842" width="29.375" style="1" customWidth="1"/>
    <col min="3843" max="3843" width="13.50390625" style="1" customWidth="1"/>
    <col min="3844" max="3844" width="12.375" style="1" customWidth="1"/>
    <col min="3845" max="4096" width="9.125" style="1" customWidth="1"/>
    <col min="4097" max="4097" width="58.50390625" style="1" customWidth="1"/>
    <col min="4098" max="4098" width="29.375" style="1" customWidth="1"/>
    <col min="4099" max="4099" width="13.50390625" style="1" customWidth="1"/>
    <col min="4100" max="4100" width="12.375" style="1" customWidth="1"/>
    <col min="4101" max="4352" width="9.125" style="1" customWidth="1"/>
    <col min="4353" max="4353" width="58.50390625" style="1" customWidth="1"/>
    <col min="4354" max="4354" width="29.375" style="1" customWidth="1"/>
    <col min="4355" max="4355" width="13.50390625" style="1" customWidth="1"/>
    <col min="4356" max="4356" width="12.375" style="1" customWidth="1"/>
    <col min="4357" max="4608" width="9.125" style="1" customWidth="1"/>
    <col min="4609" max="4609" width="58.50390625" style="1" customWidth="1"/>
    <col min="4610" max="4610" width="29.375" style="1" customWidth="1"/>
    <col min="4611" max="4611" width="13.50390625" style="1" customWidth="1"/>
    <col min="4612" max="4612" width="12.375" style="1" customWidth="1"/>
    <col min="4613" max="4864" width="9.125" style="1" customWidth="1"/>
    <col min="4865" max="4865" width="58.50390625" style="1" customWidth="1"/>
    <col min="4866" max="4866" width="29.375" style="1" customWidth="1"/>
    <col min="4867" max="4867" width="13.50390625" style="1" customWidth="1"/>
    <col min="4868" max="4868" width="12.375" style="1" customWidth="1"/>
    <col min="4869" max="5120" width="9.125" style="1" customWidth="1"/>
    <col min="5121" max="5121" width="58.50390625" style="1" customWidth="1"/>
    <col min="5122" max="5122" width="29.375" style="1" customWidth="1"/>
    <col min="5123" max="5123" width="13.50390625" style="1" customWidth="1"/>
    <col min="5124" max="5124" width="12.375" style="1" customWidth="1"/>
    <col min="5125" max="5376" width="9.125" style="1" customWidth="1"/>
    <col min="5377" max="5377" width="58.50390625" style="1" customWidth="1"/>
    <col min="5378" max="5378" width="29.375" style="1" customWidth="1"/>
    <col min="5379" max="5379" width="13.50390625" style="1" customWidth="1"/>
    <col min="5380" max="5380" width="12.375" style="1" customWidth="1"/>
    <col min="5381" max="5632" width="9.125" style="1" customWidth="1"/>
    <col min="5633" max="5633" width="58.50390625" style="1" customWidth="1"/>
    <col min="5634" max="5634" width="29.375" style="1" customWidth="1"/>
    <col min="5635" max="5635" width="13.50390625" style="1" customWidth="1"/>
    <col min="5636" max="5636" width="12.375" style="1" customWidth="1"/>
    <col min="5637" max="5888" width="9.125" style="1" customWidth="1"/>
    <col min="5889" max="5889" width="58.50390625" style="1" customWidth="1"/>
    <col min="5890" max="5890" width="29.375" style="1" customWidth="1"/>
    <col min="5891" max="5891" width="13.50390625" style="1" customWidth="1"/>
    <col min="5892" max="5892" width="12.375" style="1" customWidth="1"/>
    <col min="5893" max="6144" width="9.125" style="1" customWidth="1"/>
    <col min="6145" max="6145" width="58.50390625" style="1" customWidth="1"/>
    <col min="6146" max="6146" width="29.375" style="1" customWidth="1"/>
    <col min="6147" max="6147" width="13.50390625" style="1" customWidth="1"/>
    <col min="6148" max="6148" width="12.375" style="1" customWidth="1"/>
    <col min="6149" max="6400" width="9.125" style="1" customWidth="1"/>
    <col min="6401" max="6401" width="58.50390625" style="1" customWidth="1"/>
    <col min="6402" max="6402" width="29.375" style="1" customWidth="1"/>
    <col min="6403" max="6403" width="13.50390625" style="1" customWidth="1"/>
    <col min="6404" max="6404" width="12.375" style="1" customWidth="1"/>
    <col min="6405" max="6656" width="9.125" style="1" customWidth="1"/>
    <col min="6657" max="6657" width="58.50390625" style="1" customWidth="1"/>
    <col min="6658" max="6658" width="29.375" style="1" customWidth="1"/>
    <col min="6659" max="6659" width="13.50390625" style="1" customWidth="1"/>
    <col min="6660" max="6660" width="12.375" style="1" customWidth="1"/>
    <col min="6661" max="6912" width="9.125" style="1" customWidth="1"/>
    <col min="6913" max="6913" width="58.50390625" style="1" customWidth="1"/>
    <col min="6914" max="6914" width="29.375" style="1" customWidth="1"/>
    <col min="6915" max="6915" width="13.50390625" style="1" customWidth="1"/>
    <col min="6916" max="6916" width="12.375" style="1" customWidth="1"/>
    <col min="6917" max="7168" width="9.125" style="1" customWidth="1"/>
    <col min="7169" max="7169" width="58.50390625" style="1" customWidth="1"/>
    <col min="7170" max="7170" width="29.375" style="1" customWidth="1"/>
    <col min="7171" max="7171" width="13.50390625" style="1" customWidth="1"/>
    <col min="7172" max="7172" width="12.375" style="1" customWidth="1"/>
    <col min="7173" max="7424" width="9.125" style="1" customWidth="1"/>
    <col min="7425" max="7425" width="58.50390625" style="1" customWidth="1"/>
    <col min="7426" max="7426" width="29.375" style="1" customWidth="1"/>
    <col min="7427" max="7427" width="13.50390625" style="1" customWidth="1"/>
    <col min="7428" max="7428" width="12.375" style="1" customWidth="1"/>
    <col min="7429" max="7680" width="9.125" style="1" customWidth="1"/>
    <col min="7681" max="7681" width="58.50390625" style="1" customWidth="1"/>
    <col min="7682" max="7682" width="29.375" style="1" customWidth="1"/>
    <col min="7683" max="7683" width="13.50390625" style="1" customWidth="1"/>
    <col min="7684" max="7684" width="12.375" style="1" customWidth="1"/>
    <col min="7685" max="7936" width="9.125" style="1" customWidth="1"/>
    <col min="7937" max="7937" width="58.50390625" style="1" customWidth="1"/>
    <col min="7938" max="7938" width="29.375" style="1" customWidth="1"/>
    <col min="7939" max="7939" width="13.50390625" style="1" customWidth="1"/>
    <col min="7940" max="7940" width="12.375" style="1" customWidth="1"/>
    <col min="7941" max="8192" width="9.125" style="1" customWidth="1"/>
    <col min="8193" max="8193" width="58.50390625" style="1" customWidth="1"/>
    <col min="8194" max="8194" width="29.375" style="1" customWidth="1"/>
    <col min="8195" max="8195" width="13.50390625" style="1" customWidth="1"/>
    <col min="8196" max="8196" width="12.375" style="1" customWidth="1"/>
    <col min="8197" max="8448" width="9.125" style="1" customWidth="1"/>
    <col min="8449" max="8449" width="58.50390625" style="1" customWidth="1"/>
    <col min="8450" max="8450" width="29.375" style="1" customWidth="1"/>
    <col min="8451" max="8451" width="13.50390625" style="1" customWidth="1"/>
    <col min="8452" max="8452" width="12.375" style="1" customWidth="1"/>
    <col min="8453" max="8704" width="9.125" style="1" customWidth="1"/>
    <col min="8705" max="8705" width="58.50390625" style="1" customWidth="1"/>
    <col min="8706" max="8706" width="29.375" style="1" customWidth="1"/>
    <col min="8707" max="8707" width="13.50390625" style="1" customWidth="1"/>
    <col min="8708" max="8708" width="12.375" style="1" customWidth="1"/>
    <col min="8709" max="8960" width="9.125" style="1" customWidth="1"/>
    <col min="8961" max="8961" width="58.50390625" style="1" customWidth="1"/>
    <col min="8962" max="8962" width="29.375" style="1" customWidth="1"/>
    <col min="8963" max="8963" width="13.50390625" style="1" customWidth="1"/>
    <col min="8964" max="8964" width="12.375" style="1" customWidth="1"/>
    <col min="8965" max="9216" width="9.125" style="1" customWidth="1"/>
    <col min="9217" max="9217" width="58.50390625" style="1" customWidth="1"/>
    <col min="9218" max="9218" width="29.375" style="1" customWidth="1"/>
    <col min="9219" max="9219" width="13.50390625" style="1" customWidth="1"/>
    <col min="9220" max="9220" width="12.375" style="1" customWidth="1"/>
    <col min="9221" max="9472" width="9.125" style="1" customWidth="1"/>
    <col min="9473" max="9473" width="58.50390625" style="1" customWidth="1"/>
    <col min="9474" max="9474" width="29.375" style="1" customWidth="1"/>
    <col min="9475" max="9475" width="13.50390625" style="1" customWidth="1"/>
    <col min="9476" max="9476" width="12.375" style="1" customWidth="1"/>
    <col min="9477" max="9728" width="9.125" style="1" customWidth="1"/>
    <col min="9729" max="9729" width="58.50390625" style="1" customWidth="1"/>
    <col min="9730" max="9730" width="29.375" style="1" customWidth="1"/>
    <col min="9731" max="9731" width="13.50390625" style="1" customWidth="1"/>
    <col min="9732" max="9732" width="12.375" style="1" customWidth="1"/>
    <col min="9733" max="9984" width="9.125" style="1" customWidth="1"/>
    <col min="9985" max="9985" width="58.50390625" style="1" customWidth="1"/>
    <col min="9986" max="9986" width="29.375" style="1" customWidth="1"/>
    <col min="9987" max="9987" width="13.50390625" style="1" customWidth="1"/>
    <col min="9988" max="9988" width="12.375" style="1" customWidth="1"/>
    <col min="9989" max="10240" width="9.125" style="1" customWidth="1"/>
    <col min="10241" max="10241" width="58.50390625" style="1" customWidth="1"/>
    <col min="10242" max="10242" width="29.375" style="1" customWidth="1"/>
    <col min="10243" max="10243" width="13.50390625" style="1" customWidth="1"/>
    <col min="10244" max="10244" width="12.375" style="1" customWidth="1"/>
    <col min="10245" max="10496" width="9.125" style="1" customWidth="1"/>
    <col min="10497" max="10497" width="58.50390625" style="1" customWidth="1"/>
    <col min="10498" max="10498" width="29.375" style="1" customWidth="1"/>
    <col min="10499" max="10499" width="13.50390625" style="1" customWidth="1"/>
    <col min="10500" max="10500" width="12.375" style="1" customWidth="1"/>
    <col min="10501" max="10752" width="9.125" style="1" customWidth="1"/>
    <col min="10753" max="10753" width="58.50390625" style="1" customWidth="1"/>
    <col min="10754" max="10754" width="29.375" style="1" customWidth="1"/>
    <col min="10755" max="10755" width="13.50390625" style="1" customWidth="1"/>
    <col min="10756" max="10756" width="12.375" style="1" customWidth="1"/>
    <col min="10757" max="11008" width="9.125" style="1" customWidth="1"/>
    <col min="11009" max="11009" width="58.50390625" style="1" customWidth="1"/>
    <col min="11010" max="11010" width="29.375" style="1" customWidth="1"/>
    <col min="11011" max="11011" width="13.50390625" style="1" customWidth="1"/>
    <col min="11012" max="11012" width="12.375" style="1" customWidth="1"/>
    <col min="11013" max="11264" width="9.125" style="1" customWidth="1"/>
    <col min="11265" max="11265" width="58.50390625" style="1" customWidth="1"/>
    <col min="11266" max="11266" width="29.375" style="1" customWidth="1"/>
    <col min="11267" max="11267" width="13.50390625" style="1" customWidth="1"/>
    <col min="11268" max="11268" width="12.375" style="1" customWidth="1"/>
    <col min="11269" max="11520" width="9.125" style="1" customWidth="1"/>
    <col min="11521" max="11521" width="58.50390625" style="1" customWidth="1"/>
    <col min="11522" max="11522" width="29.375" style="1" customWidth="1"/>
    <col min="11523" max="11523" width="13.50390625" style="1" customWidth="1"/>
    <col min="11524" max="11524" width="12.375" style="1" customWidth="1"/>
    <col min="11525" max="11776" width="9.125" style="1" customWidth="1"/>
    <col min="11777" max="11777" width="58.50390625" style="1" customWidth="1"/>
    <col min="11778" max="11778" width="29.375" style="1" customWidth="1"/>
    <col min="11779" max="11779" width="13.50390625" style="1" customWidth="1"/>
    <col min="11780" max="11780" width="12.375" style="1" customWidth="1"/>
    <col min="11781" max="12032" width="9.125" style="1" customWidth="1"/>
    <col min="12033" max="12033" width="58.50390625" style="1" customWidth="1"/>
    <col min="12034" max="12034" width="29.375" style="1" customWidth="1"/>
    <col min="12035" max="12035" width="13.50390625" style="1" customWidth="1"/>
    <col min="12036" max="12036" width="12.375" style="1" customWidth="1"/>
    <col min="12037" max="12288" width="9.125" style="1" customWidth="1"/>
    <col min="12289" max="12289" width="58.50390625" style="1" customWidth="1"/>
    <col min="12290" max="12290" width="29.375" style="1" customWidth="1"/>
    <col min="12291" max="12291" width="13.50390625" style="1" customWidth="1"/>
    <col min="12292" max="12292" width="12.375" style="1" customWidth="1"/>
    <col min="12293" max="12544" width="9.125" style="1" customWidth="1"/>
    <col min="12545" max="12545" width="58.50390625" style="1" customWidth="1"/>
    <col min="12546" max="12546" width="29.375" style="1" customWidth="1"/>
    <col min="12547" max="12547" width="13.50390625" style="1" customWidth="1"/>
    <col min="12548" max="12548" width="12.375" style="1" customWidth="1"/>
    <col min="12549" max="12800" width="9.125" style="1" customWidth="1"/>
    <col min="12801" max="12801" width="58.50390625" style="1" customWidth="1"/>
    <col min="12802" max="12802" width="29.375" style="1" customWidth="1"/>
    <col min="12803" max="12803" width="13.50390625" style="1" customWidth="1"/>
    <col min="12804" max="12804" width="12.375" style="1" customWidth="1"/>
    <col min="12805" max="13056" width="9.125" style="1" customWidth="1"/>
    <col min="13057" max="13057" width="58.50390625" style="1" customWidth="1"/>
    <col min="13058" max="13058" width="29.375" style="1" customWidth="1"/>
    <col min="13059" max="13059" width="13.50390625" style="1" customWidth="1"/>
    <col min="13060" max="13060" width="12.375" style="1" customWidth="1"/>
    <col min="13061" max="13312" width="9.125" style="1" customWidth="1"/>
    <col min="13313" max="13313" width="58.50390625" style="1" customWidth="1"/>
    <col min="13314" max="13314" width="29.375" style="1" customWidth="1"/>
    <col min="13315" max="13315" width="13.50390625" style="1" customWidth="1"/>
    <col min="13316" max="13316" width="12.375" style="1" customWidth="1"/>
    <col min="13317" max="13568" width="9.125" style="1" customWidth="1"/>
    <col min="13569" max="13569" width="58.50390625" style="1" customWidth="1"/>
    <col min="13570" max="13570" width="29.375" style="1" customWidth="1"/>
    <col min="13571" max="13571" width="13.50390625" style="1" customWidth="1"/>
    <col min="13572" max="13572" width="12.375" style="1" customWidth="1"/>
    <col min="13573" max="13824" width="9.125" style="1" customWidth="1"/>
    <col min="13825" max="13825" width="58.50390625" style="1" customWidth="1"/>
    <col min="13826" max="13826" width="29.375" style="1" customWidth="1"/>
    <col min="13827" max="13827" width="13.50390625" style="1" customWidth="1"/>
    <col min="13828" max="13828" width="12.375" style="1" customWidth="1"/>
    <col min="13829" max="14080" width="9.125" style="1" customWidth="1"/>
    <col min="14081" max="14081" width="58.50390625" style="1" customWidth="1"/>
    <col min="14082" max="14082" width="29.375" style="1" customWidth="1"/>
    <col min="14083" max="14083" width="13.50390625" style="1" customWidth="1"/>
    <col min="14084" max="14084" width="12.375" style="1" customWidth="1"/>
    <col min="14085" max="14336" width="9.125" style="1" customWidth="1"/>
    <col min="14337" max="14337" width="58.50390625" style="1" customWidth="1"/>
    <col min="14338" max="14338" width="29.375" style="1" customWidth="1"/>
    <col min="14339" max="14339" width="13.50390625" style="1" customWidth="1"/>
    <col min="14340" max="14340" width="12.375" style="1" customWidth="1"/>
    <col min="14341" max="14592" width="9.125" style="1" customWidth="1"/>
    <col min="14593" max="14593" width="58.50390625" style="1" customWidth="1"/>
    <col min="14594" max="14594" width="29.375" style="1" customWidth="1"/>
    <col min="14595" max="14595" width="13.50390625" style="1" customWidth="1"/>
    <col min="14596" max="14596" width="12.375" style="1" customWidth="1"/>
    <col min="14597" max="14848" width="9.125" style="1" customWidth="1"/>
    <col min="14849" max="14849" width="58.50390625" style="1" customWidth="1"/>
    <col min="14850" max="14850" width="29.375" style="1" customWidth="1"/>
    <col min="14851" max="14851" width="13.50390625" style="1" customWidth="1"/>
    <col min="14852" max="14852" width="12.375" style="1" customWidth="1"/>
    <col min="14853" max="15104" width="9.125" style="1" customWidth="1"/>
    <col min="15105" max="15105" width="58.50390625" style="1" customWidth="1"/>
    <col min="15106" max="15106" width="29.375" style="1" customWidth="1"/>
    <col min="15107" max="15107" width="13.50390625" style="1" customWidth="1"/>
    <col min="15108" max="15108" width="12.375" style="1" customWidth="1"/>
    <col min="15109" max="15360" width="9.125" style="1" customWidth="1"/>
    <col min="15361" max="15361" width="58.50390625" style="1" customWidth="1"/>
    <col min="15362" max="15362" width="29.375" style="1" customWidth="1"/>
    <col min="15363" max="15363" width="13.50390625" style="1" customWidth="1"/>
    <col min="15364" max="15364" width="12.375" style="1" customWidth="1"/>
    <col min="15365" max="15616" width="9.125" style="1" customWidth="1"/>
    <col min="15617" max="15617" width="58.50390625" style="1" customWidth="1"/>
    <col min="15618" max="15618" width="29.375" style="1" customWidth="1"/>
    <col min="15619" max="15619" width="13.50390625" style="1" customWidth="1"/>
    <col min="15620" max="15620" width="12.375" style="1" customWidth="1"/>
    <col min="15621" max="15872" width="9.125" style="1" customWidth="1"/>
    <col min="15873" max="15873" width="58.50390625" style="1" customWidth="1"/>
    <col min="15874" max="15874" width="29.375" style="1" customWidth="1"/>
    <col min="15875" max="15875" width="13.50390625" style="1" customWidth="1"/>
    <col min="15876" max="15876" width="12.375" style="1" customWidth="1"/>
    <col min="15877" max="16128" width="9.125" style="1" customWidth="1"/>
    <col min="16129" max="16129" width="58.50390625" style="1" customWidth="1"/>
    <col min="16130" max="16130" width="29.375" style="1" customWidth="1"/>
    <col min="16131" max="16131" width="13.50390625" style="1" customWidth="1"/>
    <col min="16132" max="16132" width="12.375" style="1" customWidth="1"/>
    <col min="16133" max="16384" width="9.125" style="1" customWidth="1"/>
  </cols>
  <sheetData>
    <row r="1" spans="1:4" ht="12.75">
      <c r="A1" s="280" t="s">
        <v>591</v>
      </c>
      <c r="B1" s="280"/>
      <c r="C1" s="280"/>
      <c r="D1" s="280"/>
    </row>
    <row r="2" spans="1:4" ht="12.75">
      <c r="A2" s="270"/>
      <c r="B2" s="280" t="s">
        <v>448</v>
      </c>
      <c r="C2" s="280"/>
      <c r="D2" s="280"/>
    </row>
    <row r="3" spans="1:4" ht="12.75">
      <c r="A3" s="270"/>
      <c r="B3" s="280" t="s">
        <v>1133</v>
      </c>
      <c r="C3" s="280"/>
      <c r="D3" s="280"/>
    </row>
    <row r="5" spans="1:6" ht="71.4" customHeight="1">
      <c r="A5" s="291" t="s">
        <v>1124</v>
      </c>
      <c r="B5" s="291"/>
      <c r="C5" s="291"/>
      <c r="D5" s="291"/>
      <c r="E5" s="202"/>
      <c r="F5" s="202"/>
    </row>
    <row r="6" spans="1:4" ht="14.4" customHeight="1">
      <c r="A6" s="282"/>
      <c r="B6" s="282"/>
      <c r="C6" s="282"/>
      <c r="D6" s="282"/>
    </row>
    <row r="7" ht="12.75">
      <c r="D7" s="1" t="s">
        <v>565</v>
      </c>
    </row>
    <row r="8" spans="1:4" ht="33" customHeight="1">
      <c r="A8" s="283" t="s">
        <v>384</v>
      </c>
      <c r="B8" s="292" t="s">
        <v>584</v>
      </c>
      <c r="C8" s="287" t="s">
        <v>558</v>
      </c>
      <c r="D8" s="289" t="s">
        <v>559</v>
      </c>
    </row>
    <row r="9" spans="1:4" ht="12.75">
      <c r="A9" s="284"/>
      <c r="B9" s="293"/>
      <c r="C9" s="288"/>
      <c r="D9" s="290"/>
    </row>
    <row r="10" spans="1:4" ht="12.75">
      <c r="A10" s="195">
        <v>1</v>
      </c>
      <c r="B10" s="199" t="s">
        <v>67</v>
      </c>
      <c r="C10" s="28">
        <v>3</v>
      </c>
      <c r="D10" s="28">
        <v>4</v>
      </c>
    </row>
    <row r="11" spans="1:4" ht="33.6">
      <c r="A11" s="108" t="s">
        <v>471</v>
      </c>
      <c r="B11" s="107" t="s">
        <v>592</v>
      </c>
      <c r="C11" s="109">
        <f>C13</f>
        <v>-12000</v>
      </c>
      <c r="D11" s="109">
        <f>D13</f>
        <v>-12000</v>
      </c>
    </row>
    <row r="12" spans="1:4" ht="55.5" customHeight="1" hidden="1">
      <c r="A12" s="110" t="s">
        <v>593</v>
      </c>
      <c r="B12" s="16" t="s">
        <v>594</v>
      </c>
      <c r="C12" s="18"/>
      <c r="D12" s="18"/>
    </row>
    <row r="13" spans="1:4" ht="53.4" customHeight="1">
      <c r="A13" s="110" t="s">
        <v>472</v>
      </c>
      <c r="B13" s="16" t="s">
        <v>595</v>
      </c>
      <c r="C13" s="111">
        <f>C14</f>
        <v>-12000</v>
      </c>
      <c r="D13" s="111">
        <f>D14</f>
        <v>-12000</v>
      </c>
    </row>
    <row r="14" spans="1:4" ht="53.25" customHeight="1">
      <c r="A14" s="110" t="s">
        <v>473</v>
      </c>
      <c r="B14" s="16" t="s">
        <v>588</v>
      </c>
      <c r="C14" s="111">
        <v>-12000</v>
      </c>
      <c r="D14" s="111">
        <v>-12000</v>
      </c>
    </row>
    <row r="15" spans="1:4" ht="33.75" customHeight="1">
      <c r="A15" s="108" t="s">
        <v>596</v>
      </c>
      <c r="B15" s="107" t="s">
        <v>597</v>
      </c>
      <c r="C15" s="109">
        <v>31322.1</v>
      </c>
      <c r="D15" s="109">
        <f>D16+D19</f>
        <v>16276.199999999953</v>
      </c>
    </row>
    <row r="16" spans="1:4" ht="24" customHeight="1">
      <c r="A16" s="110" t="s">
        <v>477</v>
      </c>
      <c r="B16" s="16" t="s">
        <v>598</v>
      </c>
      <c r="C16" s="111">
        <f>C17</f>
        <v>-666501</v>
      </c>
      <c r="D16" s="111">
        <f>D17</f>
        <v>-673539.4</v>
      </c>
    </row>
    <row r="17" spans="1:4" ht="24" customHeight="1">
      <c r="A17" s="110" t="s">
        <v>479</v>
      </c>
      <c r="B17" s="16" t="s">
        <v>599</v>
      </c>
      <c r="C17" s="111">
        <f>C18</f>
        <v>-666501</v>
      </c>
      <c r="D17" s="111">
        <f>D18</f>
        <v>-673539.4</v>
      </c>
    </row>
    <row r="18" spans="1:4" ht="36" customHeight="1">
      <c r="A18" s="110" t="s">
        <v>481</v>
      </c>
      <c r="B18" s="16" t="s">
        <v>589</v>
      </c>
      <c r="C18" s="201">
        <v>-666501</v>
      </c>
      <c r="D18" s="201">
        <v>-673539.4</v>
      </c>
    </row>
    <row r="19" spans="1:4" ht="24" customHeight="1">
      <c r="A19" s="110" t="s">
        <v>483</v>
      </c>
      <c r="B19" s="16" t="s">
        <v>600</v>
      </c>
      <c r="C19" s="111">
        <f>C20</f>
        <v>700790.3</v>
      </c>
      <c r="D19" s="111">
        <f>D20</f>
        <v>689815.6</v>
      </c>
    </row>
    <row r="20" spans="1:4" ht="24" customHeight="1">
      <c r="A20" s="110" t="s">
        <v>485</v>
      </c>
      <c r="B20" s="16" t="s">
        <v>601</v>
      </c>
      <c r="C20" s="111">
        <f>C21</f>
        <v>700790.3</v>
      </c>
      <c r="D20" s="111">
        <f>D21</f>
        <v>689815.6</v>
      </c>
    </row>
    <row r="21" spans="1:4" ht="36" customHeight="1">
      <c r="A21" s="110" t="s">
        <v>487</v>
      </c>
      <c r="B21" s="16" t="s">
        <v>590</v>
      </c>
      <c r="C21" s="111">
        <v>700790.3</v>
      </c>
      <c r="D21" s="111">
        <v>689815.6</v>
      </c>
    </row>
    <row r="22" spans="1:4" ht="25.5" customHeight="1">
      <c r="A22" s="277" t="s">
        <v>488</v>
      </c>
      <c r="B22" s="277"/>
      <c r="C22" s="109">
        <f>C11+C15</f>
        <v>19322.1</v>
      </c>
      <c r="D22" s="109">
        <f>D11+D15</f>
        <v>4276.199999999953</v>
      </c>
    </row>
    <row r="24" spans="1:2" ht="12.75">
      <c r="A24" s="113"/>
      <c r="B24" s="113"/>
    </row>
    <row r="25" spans="1:2" ht="12.75">
      <c r="A25" s="192"/>
      <c r="B25" s="192"/>
    </row>
  </sheetData>
  <mergeCells count="10">
    <mergeCell ref="A22:B22"/>
    <mergeCell ref="A1:D1"/>
    <mergeCell ref="B2:D2"/>
    <mergeCell ref="B3:D3"/>
    <mergeCell ref="A5:D5"/>
    <mergeCell ref="A6:D6"/>
    <mergeCell ref="A8:A9"/>
    <mergeCell ref="B8:B9"/>
    <mergeCell ref="C8:C9"/>
    <mergeCell ref="D8:D9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5"/>
  <sheetViews>
    <sheetView zoomScale="80" zoomScaleNormal="80" workbookViewId="0" topLeftCell="A1">
      <selection activeCell="D9" sqref="D9"/>
    </sheetView>
  </sheetViews>
  <sheetFormatPr defaultColWidth="9.125" defaultRowHeight="12.75"/>
  <cols>
    <col min="1" max="1" width="35.50390625" style="203" customWidth="1"/>
    <col min="2" max="2" width="93.625" style="240" customWidth="1"/>
    <col min="3" max="3" width="14.875" style="204" customWidth="1"/>
    <col min="4" max="4" width="15.625" style="204" customWidth="1"/>
    <col min="5" max="17" width="9.125" style="204" customWidth="1"/>
    <col min="18" max="18" width="3.125" style="204" customWidth="1"/>
    <col min="19" max="16384" width="9.125" style="204" customWidth="1"/>
  </cols>
  <sheetData>
    <row r="1" spans="2:4" ht="12.75">
      <c r="B1" s="294" t="s">
        <v>1118</v>
      </c>
      <c r="C1" s="294"/>
      <c r="D1" s="294"/>
    </row>
    <row r="2" spans="2:4" ht="12.75">
      <c r="B2" s="294" t="s">
        <v>1128</v>
      </c>
      <c r="C2" s="294"/>
      <c r="D2" s="294"/>
    </row>
    <row r="3" spans="2:4" ht="12.75">
      <c r="B3" s="294" t="s">
        <v>1134</v>
      </c>
      <c r="C3" s="294"/>
      <c r="D3" s="294"/>
    </row>
    <row r="5" spans="1:4" ht="60" customHeight="1">
      <c r="A5" s="295" t="s">
        <v>602</v>
      </c>
      <c r="B5" s="295"/>
      <c r="C5" s="295"/>
      <c r="D5" s="295"/>
    </row>
    <row r="6" spans="1:4" ht="12.75">
      <c r="A6" s="204"/>
      <c r="B6" s="205"/>
      <c r="D6" s="204" t="s">
        <v>565</v>
      </c>
    </row>
    <row r="7" spans="1:4" s="209" customFormat="1" ht="50.4">
      <c r="A7" s="206" t="s">
        <v>603</v>
      </c>
      <c r="B7" s="207" t="s">
        <v>604</v>
      </c>
      <c r="C7" s="208" t="s">
        <v>605</v>
      </c>
      <c r="D7" s="207" t="s">
        <v>559</v>
      </c>
    </row>
    <row r="8" spans="1:4" ht="12.75">
      <c r="A8" s="210" t="s">
        <v>606</v>
      </c>
      <c r="B8" s="211" t="s">
        <v>607</v>
      </c>
      <c r="C8" s="212">
        <f>C9+C20+C28+C36+C48+C62+C75+C84+C68+C14+C41</f>
        <v>325355.8000000001</v>
      </c>
      <c r="D8" s="212">
        <f>D9+D20+D28+D36+D48+D62+D75+D84+D68+D14+D41</f>
        <v>329877.10000000003</v>
      </c>
    </row>
    <row r="9" spans="1:4" ht="12.75">
      <c r="A9" s="210" t="s">
        <v>608</v>
      </c>
      <c r="B9" s="211" t="s">
        <v>609</v>
      </c>
      <c r="C9" s="212">
        <f>C10</f>
        <v>139685.4</v>
      </c>
      <c r="D9" s="212">
        <f>D10</f>
        <v>135082</v>
      </c>
    </row>
    <row r="10" spans="1:4" ht="12.75">
      <c r="A10" s="213" t="s">
        <v>610</v>
      </c>
      <c r="B10" s="214" t="s">
        <v>611</v>
      </c>
      <c r="C10" s="215">
        <f>C11+C12+C13</f>
        <v>139685.4</v>
      </c>
      <c r="D10" s="215">
        <f>D11+D12+D13</f>
        <v>135082</v>
      </c>
    </row>
    <row r="11" spans="1:4" ht="54.6" customHeight="1">
      <c r="A11" s="213" t="s">
        <v>612</v>
      </c>
      <c r="B11" s="214" t="s">
        <v>613</v>
      </c>
      <c r="C11" s="215">
        <v>136905</v>
      </c>
      <c r="D11" s="215">
        <v>132282.6</v>
      </c>
    </row>
    <row r="12" spans="1:4" ht="84">
      <c r="A12" s="213" t="s">
        <v>614</v>
      </c>
      <c r="B12" s="214" t="s">
        <v>615</v>
      </c>
      <c r="C12" s="215">
        <v>398.3</v>
      </c>
      <c r="D12" s="215">
        <v>383.9</v>
      </c>
    </row>
    <row r="13" spans="1:4" ht="33.6">
      <c r="A13" s="213" t="s">
        <v>616</v>
      </c>
      <c r="B13" s="214" t="s">
        <v>617</v>
      </c>
      <c r="C13" s="215">
        <v>2382.1</v>
      </c>
      <c r="D13" s="215">
        <v>2415.5</v>
      </c>
    </row>
    <row r="14" spans="1:4" ht="33.6">
      <c r="A14" s="210" t="s">
        <v>618</v>
      </c>
      <c r="B14" s="211" t="s">
        <v>619</v>
      </c>
      <c r="C14" s="212">
        <f>C15</f>
        <v>2607.9000000000005</v>
      </c>
      <c r="D14" s="212">
        <f>D15</f>
        <v>2855.7</v>
      </c>
    </row>
    <row r="15" spans="1:4" ht="33.6">
      <c r="A15" s="213" t="s">
        <v>620</v>
      </c>
      <c r="B15" s="214" t="s">
        <v>621</v>
      </c>
      <c r="C15" s="215">
        <f>C16+C17+C18+C19</f>
        <v>2607.9000000000005</v>
      </c>
      <c r="D15" s="215">
        <f>D16+D17+D18+D19</f>
        <v>2855.7</v>
      </c>
    </row>
    <row r="16" spans="1:4" ht="51.6" customHeight="1">
      <c r="A16" s="213" t="s">
        <v>622</v>
      </c>
      <c r="B16" s="214" t="s">
        <v>623</v>
      </c>
      <c r="C16" s="215">
        <v>1196.2</v>
      </c>
      <c r="D16" s="215">
        <v>1077.8</v>
      </c>
    </row>
    <row r="17" spans="1:4" ht="67.2">
      <c r="A17" s="213" t="s">
        <v>624</v>
      </c>
      <c r="B17" s="214" t="s">
        <v>625</v>
      </c>
      <c r="C17" s="215">
        <v>28.5</v>
      </c>
      <c r="D17" s="215">
        <v>24.3</v>
      </c>
    </row>
    <row r="18" spans="1:4" ht="51.6" customHeight="1">
      <c r="A18" s="213" t="s">
        <v>626</v>
      </c>
      <c r="B18" s="214" t="s">
        <v>627</v>
      </c>
      <c r="C18" s="215">
        <v>1253.9</v>
      </c>
      <c r="D18" s="215">
        <v>1846.4</v>
      </c>
    </row>
    <row r="19" spans="1:4" ht="50.4" customHeight="1">
      <c r="A19" s="213" t="s">
        <v>628</v>
      </c>
      <c r="B19" s="214" t="s">
        <v>629</v>
      </c>
      <c r="C19" s="215">
        <v>129.3</v>
      </c>
      <c r="D19" s="215">
        <v>-92.8</v>
      </c>
    </row>
    <row r="20" spans="1:4" ht="12.75">
      <c r="A20" s="210" t="s">
        <v>630</v>
      </c>
      <c r="B20" s="211" t="s">
        <v>631</v>
      </c>
      <c r="C20" s="212">
        <f>C21+C24+C26</f>
        <v>37649.6</v>
      </c>
      <c r="D20" s="212">
        <f>D21+D24+D26</f>
        <v>36422.7</v>
      </c>
    </row>
    <row r="21" spans="1:4" ht="12.75">
      <c r="A21" s="213" t="s">
        <v>632</v>
      </c>
      <c r="B21" s="214" t="s">
        <v>633</v>
      </c>
      <c r="C21" s="215">
        <f>C22+C23</f>
        <v>35161</v>
      </c>
      <c r="D21" s="215">
        <f>D22+D23</f>
        <v>33826.1</v>
      </c>
    </row>
    <row r="22" spans="1:4" ht="12.75">
      <c r="A22" s="213" t="s">
        <v>634</v>
      </c>
      <c r="B22" s="214" t="s">
        <v>633</v>
      </c>
      <c r="C22" s="215">
        <v>35161</v>
      </c>
      <c r="D22" s="215">
        <v>33834.6</v>
      </c>
    </row>
    <row r="23" spans="1:4" ht="33.6">
      <c r="A23" s="213" t="s">
        <v>635</v>
      </c>
      <c r="B23" s="216" t="s">
        <v>636</v>
      </c>
      <c r="C23" s="215">
        <v>0</v>
      </c>
      <c r="D23" s="215">
        <v>-8.5</v>
      </c>
    </row>
    <row r="24" spans="1:4" ht="12.75">
      <c r="A24" s="217" t="s">
        <v>637</v>
      </c>
      <c r="B24" s="214" t="s">
        <v>638</v>
      </c>
      <c r="C24" s="215">
        <f>C25</f>
        <v>8.6</v>
      </c>
      <c r="D24" s="215">
        <f>D25</f>
        <v>8.4</v>
      </c>
    </row>
    <row r="25" spans="1:4" ht="12.75">
      <c r="A25" s="217" t="s">
        <v>639</v>
      </c>
      <c r="B25" s="214" t="s">
        <v>638</v>
      </c>
      <c r="C25" s="215">
        <v>8.6</v>
      </c>
      <c r="D25" s="215">
        <v>8.4</v>
      </c>
    </row>
    <row r="26" spans="1:4" ht="12.75">
      <c r="A26" s="217" t="s">
        <v>640</v>
      </c>
      <c r="B26" s="214" t="s">
        <v>641</v>
      </c>
      <c r="C26" s="215">
        <f>C27</f>
        <v>2480</v>
      </c>
      <c r="D26" s="215">
        <f>D27</f>
        <v>2588.2</v>
      </c>
    </row>
    <row r="27" spans="1:4" ht="33.6">
      <c r="A27" s="217" t="s">
        <v>642</v>
      </c>
      <c r="B27" s="214" t="s">
        <v>643</v>
      </c>
      <c r="C27" s="215">
        <v>2480</v>
      </c>
      <c r="D27" s="215">
        <v>2588.2</v>
      </c>
    </row>
    <row r="28" spans="1:4" ht="12.75">
      <c r="A28" s="210" t="s">
        <v>644</v>
      </c>
      <c r="B28" s="211" t="s">
        <v>645</v>
      </c>
      <c r="C28" s="212">
        <f>C29+C31</f>
        <v>76197</v>
      </c>
      <c r="D28" s="212">
        <f>D29+D31</f>
        <v>78985.2</v>
      </c>
    </row>
    <row r="29" spans="1:4" ht="12.75">
      <c r="A29" s="213" t="s">
        <v>646</v>
      </c>
      <c r="B29" s="214" t="s">
        <v>647</v>
      </c>
      <c r="C29" s="215">
        <f>C30</f>
        <v>4956</v>
      </c>
      <c r="D29" s="215">
        <f>D30</f>
        <v>5292.4</v>
      </c>
    </row>
    <row r="30" spans="1:4" ht="33.6">
      <c r="A30" s="213" t="s">
        <v>648</v>
      </c>
      <c r="B30" s="214" t="s">
        <v>649</v>
      </c>
      <c r="C30" s="218">
        <v>4956</v>
      </c>
      <c r="D30" s="218">
        <v>5292.4</v>
      </c>
    </row>
    <row r="31" spans="1:4" ht="12.75">
      <c r="A31" s="213" t="s">
        <v>650</v>
      </c>
      <c r="B31" s="214" t="s">
        <v>651</v>
      </c>
      <c r="C31" s="215">
        <f>C32+C34</f>
        <v>71241</v>
      </c>
      <c r="D31" s="215">
        <f>D32+D34</f>
        <v>73692.8</v>
      </c>
    </row>
    <row r="32" spans="1:4" ht="33.6">
      <c r="A32" s="213" t="s">
        <v>652</v>
      </c>
      <c r="B32" s="214" t="s">
        <v>653</v>
      </c>
      <c r="C32" s="215">
        <f>C33</f>
        <v>8790</v>
      </c>
      <c r="D32" s="215">
        <f>D33</f>
        <v>9298.3</v>
      </c>
    </row>
    <row r="33" spans="1:4" ht="49.8" customHeight="1">
      <c r="A33" s="213" t="s">
        <v>654</v>
      </c>
      <c r="B33" s="214" t="s">
        <v>655</v>
      </c>
      <c r="C33" s="218">
        <v>8790</v>
      </c>
      <c r="D33" s="218">
        <v>9298.3</v>
      </c>
    </row>
    <row r="34" spans="1:4" ht="33.6">
      <c r="A34" s="213" t="s">
        <v>656</v>
      </c>
      <c r="B34" s="214" t="s">
        <v>657</v>
      </c>
      <c r="C34" s="215">
        <f>C35</f>
        <v>62451</v>
      </c>
      <c r="D34" s="215">
        <f>D35</f>
        <v>64394.5</v>
      </c>
    </row>
    <row r="35" spans="1:4" ht="54.6" customHeight="1">
      <c r="A35" s="213" t="s">
        <v>658</v>
      </c>
      <c r="B35" s="214" t="s">
        <v>659</v>
      </c>
      <c r="C35" s="218">
        <v>62451</v>
      </c>
      <c r="D35" s="218">
        <v>64394.5</v>
      </c>
    </row>
    <row r="36" spans="1:4" ht="12.75">
      <c r="A36" s="210" t="s">
        <v>660</v>
      </c>
      <c r="B36" s="211" t="s">
        <v>661</v>
      </c>
      <c r="C36" s="212">
        <f>C37+C39</f>
        <v>3457</v>
      </c>
      <c r="D36" s="212">
        <f>D37+D39</f>
        <v>3712.4</v>
      </c>
    </row>
    <row r="37" spans="1:4" ht="33.6">
      <c r="A37" s="213" t="s">
        <v>662</v>
      </c>
      <c r="B37" s="214" t="s">
        <v>663</v>
      </c>
      <c r="C37" s="215">
        <f>C38</f>
        <v>3451</v>
      </c>
      <c r="D37" s="215">
        <f>D38</f>
        <v>3706.4</v>
      </c>
    </row>
    <row r="38" spans="1:4" ht="33.6">
      <c r="A38" s="213" t="s">
        <v>664</v>
      </c>
      <c r="B38" s="214" t="s">
        <v>665</v>
      </c>
      <c r="C38" s="218">
        <v>3451</v>
      </c>
      <c r="D38" s="218">
        <v>3706.4</v>
      </c>
    </row>
    <row r="39" spans="1:4" ht="33.6">
      <c r="A39" s="213" t="s">
        <v>666</v>
      </c>
      <c r="B39" s="214" t="s">
        <v>667</v>
      </c>
      <c r="C39" s="218">
        <f>C40</f>
        <v>6</v>
      </c>
      <c r="D39" s="218">
        <f>D40</f>
        <v>6</v>
      </c>
    </row>
    <row r="40" spans="1:4" ht="16.8" customHeight="1">
      <c r="A40" s="213" t="s">
        <v>668</v>
      </c>
      <c r="B40" s="214" t="s">
        <v>669</v>
      </c>
      <c r="C40" s="218">
        <v>6</v>
      </c>
      <c r="D40" s="218">
        <v>6</v>
      </c>
    </row>
    <row r="41" spans="1:4" ht="33.6">
      <c r="A41" s="210" t="s">
        <v>670</v>
      </c>
      <c r="B41" s="211" t="s">
        <v>671</v>
      </c>
      <c r="C41" s="219">
        <f>C42+C45</f>
        <v>25</v>
      </c>
      <c r="D41" s="219">
        <f>D42+D45</f>
        <v>34.400000000000006</v>
      </c>
    </row>
    <row r="42" spans="1:4" ht="12.75">
      <c r="A42" s="213" t="s">
        <v>672</v>
      </c>
      <c r="B42" s="214" t="s">
        <v>673</v>
      </c>
      <c r="C42" s="218">
        <f>C43</f>
        <v>25</v>
      </c>
      <c r="D42" s="218">
        <f>D43</f>
        <v>34.2</v>
      </c>
    </row>
    <row r="43" spans="1:4" ht="12.75">
      <c r="A43" s="213" t="s">
        <v>674</v>
      </c>
      <c r="B43" s="214" t="s">
        <v>675</v>
      </c>
      <c r="C43" s="218">
        <f>C44</f>
        <v>25</v>
      </c>
      <c r="D43" s="218">
        <f>D44</f>
        <v>34.2</v>
      </c>
    </row>
    <row r="44" spans="1:4" ht="33.6">
      <c r="A44" s="213" t="s">
        <v>676</v>
      </c>
      <c r="B44" s="214" t="s">
        <v>677</v>
      </c>
      <c r="C44" s="218">
        <v>25</v>
      </c>
      <c r="D44" s="218">
        <v>34.2</v>
      </c>
    </row>
    <row r="45" spans="1:4" ht="12.75">
      <c r="A45" s="220" t="s">
        <v>678</v>
      </c>
      <c r="B45" s="221" t="s">
        <v>679</v>
      </c>
      <c r="C45" s="218">
        <f>C46</f>
        <v>0</v>
      </c>
      <c r="D45" s="218">
        <f>D46</f>
        <v>0.2</v>
      </c>
    </row>
    <row r="46" spans="1:4" ht="33.6">
      <c r="A46" s="220" t="s">
        <v>680</v>
      </c>
      <c r="B46" s="221" t="s">
        <v>681</v>
      </c>
      <c r="C46" s="218">
        <f>C47</f>
        <v>0</v>
      </c>
      <c r="D46" s="218">
        <f>D47</f>
        <v>0.2</v>
      </c>
    </row>
    <row r="47" spans="1:4" ht="50.4">
      <c r="A47" s="220" t="s">
        <v>682</v>
      </c>
      <c r="B47" s="221" t="s">
        <v>683</v>
      </c>
      <c r="C47" s="218">
        <v>0</v>
      </c>
      <c r="D47" s="218">
        <v>0.2</v>
      </c>
    </row>
    <row r="48" spans="1:4" ht="33.6">
      <c r="A48" s="210" t="s">
        <v>684</v>
      </c>
      <c r="B48" s="211" t="s">
        <v>685</v>
      </c>
      <c r="C48" s="212">
        <f>C49+C56+C59</f>
        <v>35045.899999999994</v>
      </c>
      <c r="D48" s="212">
        <f>D49+D56+D59</f>
        <v>38086.799999999996</v>
      </c>
    </row>
    <row r="49" spans="1:4" ht="67.2">
      <c r="A49" s="213" t="s">
        <v>686</v>
      </c>
      <c r="B49" s="214" t="s">
        <v>687</v>
      </c>
      <c r="C49" s="215">
        <f>C50+C52+C54</f>
        <v>34927.6</v>
      </c>
      <c r="D49" s="215">
        <f>D50+D52+D54</f>
        <v>37975.5</v>
      </c>
    </row>
    <row r="50" spans="1:4" ht="50.4">
      <c r="A50" s="213" t="s">
        <v>688</v>
      </c>
      <c r="B50" s="214" t="s">
        <v>689</v>
      </c>
      <c r="C50" s="215">
        <f>C51</f>
        <v>19129.3</v>
      </c>
      <c r="D50" s="215">
        <f>D51</f>
        <v>19772.3</v>
      </c>
    </row>
    <row r="51" spans="1:4" ht="67.2">
      <c r="A51" s="213" t="s">
        <v>690</v>
      </c>
      <c r="B51" s="214" t="s">
        <v>691</v>
      </c>
      <c r="C51" s="215">
        <v>19129.3</v>
      </c>
      <c r="D51" s="215">
        <v>19772.3</v>
      </c>
    </row>
    <row r="52" spans="1:4" ht="67.2">
      <c r="A52" s="213" t="s">
        <v>692</v>
      </c>
      <c r="B52" s="214" t="s">
        <v>693</v>
      </c>
      <c r="C52" s="218">
        <f>53:53</f>
        <v>946.9</v>
      </c>
      <c r="D52" s="218">
        <f>53:53</f>
        <v>1169.2</v>
      </c>
    </row>
    <row r="53" spans="1:4" ht="67.2">
      <c r="A53" s="213" t="s">
        <v>694</v>
      </c>
      <c r="B53" s="214" t="s">
        <v>695</v>
      </c>
      <c r="C53" s="215">
        <v>946.9</v>
      </c>
      <c r="D53" s="215">
        <v>1169.2</v>
      </c>
    </row>
    <row r="54" spans="1:4" ht="33.6">
      <c r="A54" s="213" t="s">
        <v>696</v>
      </c>
      <c r="B54" s="214" t="s">
        <v>697</v>
      </c>
      <c r="C54" s="215">
        <f>C55</f>
        <v>14851.4</v>
      </c>
      <c r="D54" s="215">
        <f>D55</f>
        <v>17034</v>
      </c>
    </row>
    <row r="55" spans="1:4" ht="33.6">
      <c r="A55" s="213" t="s">
        <v>698</v>
      </c>
      <c r="B55" s="214" t="s">
        <v>699</v>
      </c>
      <c r="C55" s="215">
        <v>14851.4</v>
      </c>
      <c r="D55" s="215">
        <v>17034</v>
      </c>
    </row>
    <row r="56" spans="1:4" ht="12.75">
      <c r="A56" s="213" t="s">
        <v>700</v>
      </c>
      <c r="B56" s="214" t="s">
        <v>701</v>
      </c>
      <c r="C56" s="215">
        <f>C57</f>
        <v>102.1</v>
      </c>
      <c r="D56" s="215">
        <f>D57</f>
        <v>95.1</v>
      </c>
    </row>
    <row r="57" spans="1:4" ht="31.8" customHeight="1">
      <c r="A57" s="213" t="s">
        <v>702</v>
      </c>
      <c r="B57" s="214" t="s">
        <v>703</v>
      </c>
      <c r="C57" s="215">
        <f>C58</f>
        <v>102.1</v>
      </c>
      <c r="D57" s="215">
        <f>D58</f>
        <v>95.1</v>
      </c>
    </row>
    <row r="58" spans="1:4" ht="50.4">
      <c r="A58" s="213" t="s">
        <v>704</v>
      </c>
      <c r="B58" s="214" t="s">
        <v>705</v>
      </c>
      <c r="C58" s="215">
        <v>102.1</v>
      </c>
      <c r="D58" s="215">
        <v>95.1</v>
      </c>
    </row>
    <row r="59" spans="1:4" ht="67.2">
      <c r="A59" s="213" t="s">
        <v>706</v>
      </c>
      <c r="B59" s="214" t="s">
        <v>707</v>
      </c>
      <c r="C59" s="215">
        <f>C60</f>
        <v>16.2</v>
      </c>
      <c r="D59" s="215">
        <f>D60</f>
        <v>16.2</v>
      </c>
    </row>
    <row r="60" spans="1:4" ht="67.2">
      <c r="A60" s="213" t="s">
        <v>708</v>
      </c>
      <c r="B60" s="214" t="s">
        <v>709</v>
      </c>
      <c r="C60" s="215">
        <f>C61</f>
        <v>16.2</v>
      </c>
      <c r="D60" s="215">
        <f>D61</f>
        <v>16.2</v>
      </c>
    </row>
    <row r="61" spans="1:4" ht="55.2" customHeight="1">
      <c r="A61" s="213" t="s">
        <v>710</v>
      </c>
      <c r="B61" s="214" t="s">
        <v>711</v>
      </c>
      <c r="C61" s="215">
        <v>16.2</v>
      </c>
      <c r="D61" s="215">
        <v>16.2</v>
      </c>
    </row>
    <row r="62" spans="1:4" ht="12.75">
      <c r="A62" s="210" t="s">
        <v>712</v>
      </c>
      <c r="B62" s="211" t="s">
        <v>713</v>
      </c>
      <c r="C62" s="212">
        <f>C63</f>
        <v>1769.6999999999998</v>
      </c>
      <c r="D62" s="212">
        <f>D63</f>
        <v>1318.1</v>
      </c>
    </row>
    <row r="63" spans="1:4" ht="12.75">
      <c r="A63" s="213" t="s">
        <v>714</v>
      </c>
      <c r="B63" s="214" t="s">
        <v>715</v>
      </c>
      <c r="C63" s="215">
        <f>SUM(C64:C67)</f>
        <v>1769.6999999999998</v>
      </c>
      <c r="D63" s="215">
        <f>SUM(D64:D67)</f>
        <v>1318.1</v>
      </c>
    </row>
    <row r="64" spans="1:4" ht="16.8" customHeight="1">
      <c r="A64" s="222" t="s">
        <v>716</v>
      </c>
      <c r="B64" s="214" t="s">
        <v>717</v>
      </c>
      <c r="C64" s="215">
        <v>231.3</v>
      </c>
      <c r="D64" s="215">
        <v>213.4</v>
      </c>
    </row>
    <row r="65" spans="1:4" ht="18.6" customHeight="1">
      <c r="A65" s="222" t="s">
        <v>718</v>
      </c>
      <c r="B65" s="214" t="s">
        <v>719</v>
      </c>
      <c r="C65" s="215">
        <v>47</v>
      </c>
      <c r="D65" s="215">
        <v>35</v>
      </c>
    </row>
    <row r="66" spans="1:4" ht="12.75">
      <c r="A66" s="222" t="s">
        <v>720</v>
      </c>
      <c r="B66" s="214" t="s">
        <v>721</v>
      </c>
      <c r="C66" s="215">
        <v>1044.6</v>
      </c>
      <c r="D66" s="215">
        <v>858.1</v>
      </c>
    </row>
    <row r="67" spans="1:4" ht="12.75">
      <c r="A67" s="222" t="s">
        <v>722</v>
      </c>
      <c r="B67" s="214" t="s">
        <v>723</v>
      </c>
      <c r="C67" s="215">
        <v>446.8</v>
      </c>
      <c r="D67" s="215">
        <v>211.6</v>
      </c>
    </row>
    <row r="68" spans="1:4" ht="33.6">
      <c r="A68" s="210" t="s">
        <v>724</v>
      </c>
      <c r="B68" s="223" t="s">
        <v>725</v>
      </c>
      <c r="C68" s="212">
        <f>C69+C72</f>
        <v>1001</v>
      </c>
      <c r="D68" s="212">
        <f>D69+D72</f>
        <v>1176.4</v>
      </c>
    </row>
    <row r="69" spans="1:4" ht="12.75">
      <c r="A69" s="222" t="s">
        <v>726</v>
      </c>
      <c r="B69" s="214" t="s">
        <v>727</v>
      </c>
      <c r="C69" s="215">
        <f>C70</f>
        <v>894.9</v>
      </c>
      <c r="D69" s="215">
        <f>D70</f>
        <v>1062.5</v>
      </c>
    </row>
    <row r="70" spans="1:4" ht="12.75">
      <c r="A70" s="222" t="s">
        <v>728</v>
      </c>
      <c r="B70" s="214" t="s">
        <v>729</v>
      </c>
      <c r="C70" s="215">
        <f>C71</f>
        <v>894.9</v>
      </c>
      <c r="D70" s="215">
        <f>D71</f>
        <v>1062.5</v>
      </c>
    </row>
    <row r="71" spans="1:4" ht="33.6">
      <c r="A71" s="222" t="s">
        <v>730</v>
      </c>
      <c r="B71" s="214" t="s">
        <v>731</v>
      </c>
      <c r="C71" s="215">
        <v>894.9</v>
      </c>
      <c r="D71" s="215">
        <v>1062.5</v>
      </c>
    </row>
    <row r="72" spans="1:4" ht="12.75">
      <c r="A72" s="222" t="s">
        <v>732</v>
      </c>
      <c r="B72" s="214" t="s">
        <v>733</v>
      </c>
      <c r="C72" s="215">
        <f>C73</f>
        <v>106.1</v>
      </c>
      <c r="D72" s="215">
        <f>D73</f>
        <v>113.9</v>
      </c>
    </row>
    <row r="73" spans="1:4" ht="12.75">
      <c r="A73" s="222" t="s">
        <v>734</v>
      </c>
      <c r="B73" s="214" t="s">
        <v>735</v>
      </c>
      <c r="C73" s="215">
        <f>C74</f>
        <v>106.1</v>
      </c>
      <c r="D73" s="215">
        <f>D74</f>
        <v>113.9</v>
      </c>
    </row>
    <row r="74" spans="1:4" ht="12.75">
      <c r="A74" s="222" t="s">
        <v>736</v>
      </c>
      <c r="B74" s="214" t="s">
        <v>737</v>
      </c>
      <c r="C74" s="215">
        <v>106.1</v>
      </c>
      <c r="D74" s="215">
        <v>113.9</v>
      </c>
    </row>
    <row r="75" spans="1:4" ht="18.6" customHeight="1">
      <c r="A75" s="210" t="s">
        <v>738</v>
      </c>
      <c r="B75" s="211" t="s">
        <v>739</v>
      </c>
      <c r="C75" s="212">
        <f>C76+C79</f>
        <v>23376.9</v>
      </c>
      <c r="D75" s="212">
        <f>D76+D79</f>
        <v>25044.1</v>
      </c>
    </row>
    <row r="76" spans="1:4" ht="67.2">
      <c r="A76" s="213" t="s">
        <v>740</v>
      </c>
      <c r="B76" s="214" t="s">
        <v>741</v>
      </c>
      <c r="C76" s="215">
        <f>C77</f>
        <v>18759.7</v>
      </c>
      <c r="D76" s="215">
        <f>D77</f>
        <v>20647</v>
      </c>
    </row>
    <row r="77" spans="1:4" ht="68.4" customHeight="1">
      <c r="A77" s="213" t="s">
        <v>742</v>
      </c>
      <c r="B77" s="214" t="s">
        <v>743</v>
      </c>
      <c r="C77" s="215">
        <f>C78</f>
        <v>18759.7</v>
      </c>
      <c r="D77" s="215">
        <f>D78</f>
        <v>20647</v>
      </c>
    </row>
    <row r="78" spans="1:4" ht="67.2">
      <c r="A78" s="213" t="s">
        <v>744</v>
      </c>
      <c r="B78" s="214" t="s">
        <v>745</v>
      </c>
      <c r="C78" s="215">
        <v>18759.7</v>
      </c>
      <c r="D78" s="215">
        <v>20647</v>
      </c>
    </row>
    <row r="79" spans="1:4" ht="33.6">
      <c r="A79" s="213" t="s">
        <v>746</v>
      </c>
      <c r="B79" s="214" t="s">
        <v>747</v>
      </c>
      <c r="C79" s="215">
        <f>C80+C82</f>
        <v>4617.2</v>
      </c>
      <c r="D79" s="215">
        <f>D80+D82</f>
        <v>4397.1</v>
      </c>
    </row>
    <row r="80" spans="1:4" ht="33.6">
      <c r="A80" s="213" t="s">
        <v>748</v>
      </c>
      <c r="B80" s="214" t="s">
        <v>749</v>
      </c>
      <c r="C80" s="215">
        <f>C81</f>
        <v>3017.2</v>
      </c>
      <c r="D80" s="215">
        <f>D81</f>
        <v>2797.1</v>
      </c>
    </row>
    <row r="81" spans="1:4" ht="33.6">
      <c r="A81" s="213" t="s">
        <v>750</v>
      </c>
      <c r="B81" s="214" t="s">
        <v>751</v>
      </c>
      <c r="C81" s="215">
        <v>3017.2</v>
      </c>
      <c r="D81" s="215">
        <v>2797.1</v>
      </c>
    </row>
    <row r="82" spans="1:4" ht="36" customHeight="1">
      <c r="A82" s="216" t="s">
        <v>752</v>
      </c>
      <c r="B82" s="214" t="s">
        <v>753</v>
      </c>
      <c r="C82" s="215">
        <f>C83</f>
        <v>1600</v>
      </c>
      <c r="D82" s="215">
        <f>D83</f>
        <v>1600</v>
      </c>
    </row>
    <row r="83" spans="1:4" ht="50.4">
      <c r="A83" s="216" t="s">
        <v>754</v>
      </c>
      <c r="B83" s="214" t="s">
        <v>755</v>
      </c>
      <c r="C83" s="215">
        <v>1600</v>
      </c>
      <c r="D83" s="215">
        <v>1600</v>
      </c>
    </row>
    <row r="84" spans="1:4" ht="12.75">
      <c r="A84" s="210" t="s">
        <v>756</v>
      </c>
      <c r="B84" s="211" t="s">
        <v>757</v>
      </c>
      <c r="C84" s="212">
        <f>C85+C91+C93+C96+C99+C101+C88+C89+C94+C98</f>
        <v>4540.400000000001</v>
      </c>
      <c r="D84" s="212">
        <f>D85+D91+D93+D96+D99+D101+D88+D89+D94+D98</f>
        <v>7159.3</v>
      </c>
    </row>
    <row r="85" spans="1:4" ht="12.75">
      <c r="A85" s="213" t="s">
        <v>758</v>
      </c>
      <c r="B85" s="214" t="s">
        <v>759</v>
      </c>
      <c r="C85" s="215">
        <f>C86+C87</f>
        <v>61</v>
      </c>
      <c r="D85" s="215">
        <f>D86+D87</f>
        <v>72.2</v>
      </c>
    </row>
    <row r="86" spans="1:4" ht="67.2">
      <c r="A86" s="213" t="s">
        <v>760</v>
      </c>
      <c r="B86" s="214" t="s">
        <v>761</v>
      </c>
      <c r="C86" s="215">
        <v>50</v>
      </c>
      <c r="D86" s="215">
        <v>61</v>
      </c>
    </row>
    <row r="87" spans="1:4" ht="50.4">
      <c r="A87" s="213" t="s">
        <v>762</v>
      </c>
      <c r="B87" s="214" t="s">
        <v>763</v>
      </c>
      <c r="C87" s="215">
        <v>11</v>
      </c>
      <c r="D87" s="215">
        <v>11.2</v>
      </c>
    </row>
    <row r="88" spans="1:4" ht="50.4">
      <c r="A88" s="213" t="s">
        <v>764</v>
      </c>
      <c r="B88" s="214" t="s">
        <v>765</v>
      </c>
      <c r="C88" s="215">
        <v>85.1</v>
      </c>
      <c r="D88" s="215">
        <v>119.1</v>
      </c>
    </row>
    <row r="89" spans="1:4" ht="50.4">
      <c r="A89" s="213" t="s">
        <v>766</v>
      </c>
      <c r="B89" s="214" t="s">
        <v>767</v>
      </c>
      <c r="C89" s="215">
        <f>C90</f>
        <v>12.5</v>
      </c>
      <c r="D89" s="215">
        <f>D90</f>
        <v>20</v>
      </c>
    </row>
    <row r="90" spans="1:4" ht="50.4">
      <c r="A90" s="213" t="s">
        <v>768</v>
      </c>
      <c r="B90" s="214" t="s">
        <v>769</v>
      </c>
      <c r="C90" s="215">
        <v>12.5</v>
      </c>
      <c r="D90" s="215">
        <v>20</v>
      </c>
    </row>
    <row r="91" spans="1:4" ht="84">
      <c r="A91" s="213" t="s">
        <v>770</v>
      </c>
      <c r="B91" s="214" t="s">
        <v>771</v>
      </c>
      <c r="C91" s="215">
        <f>C92</f>
        <v>49</v>
      </c>
      <c r="D91" s="215">
        <f>D92</f>
        <v>52.3</v>
      </c>
    </row>
    <row r="92" spans="1:4" ht="12.75">
      <c r="A92" s="213" t="s">
        <v>772</v>
      </c>
      <c r="B92" s="214" t="s">
        <v>773</v>
      </c>
      <c r="C92" s="215">
        <v>49</v>
      </c>
      <c r="D92" s="215">
        <v>52.3</v>
      </c>
    </row>
    <row r="93" spans="1:4" ht="50.4">
      <c r="A93" s="213" t="s">
        <v>774</v>
      </c>
      <c r="B93" s="214" t="s">
        <v>775</v>
      </c>
      <c r="C93" s="215">
        <v>2026</v>
      </c>
      <c r="D93" s="215">
        <v>2302.3</v>
      </c>
    </row>
    <row r="94" spans="1:4" ht="36" customHeight="1">
      <c r="A94" s="213" t="s">
        <v>776</v>
      </c>
      <c r="B94" s="214" t="s">
        <v>777</v>
      </c>
      <c r="C94" s="215">
        <f>C95</f>
        <v>327.1</v>
      </c>
      <c r="D94" s="215">
        <f>D95</f>
        <v>2271.7</v>
      </c>
    </row>
    <row r="95" spans="1:4" ht="50.4">
      <c r="A95" s="213" t="s">
        <v>778</v>
      </c>
      <c r="B95" s="214" t="s">
        <v>779</v>
      </c>
      <c r="C95" s="215">
        <v>327.1</v>
      </c>
      <c r="D95" s="215">
        <v>2271.7</v>
      </c>
    </row>
    <row r="96" spans="1:4" ht="50.4">
      <c r="A96" s="213" t="s">
        <v>780</v>
      </c>
      <c r="B96" s="214" t="s">
        <v>781</v>
      </c>
      <c r="C96" s="215">
        <f>C97</f>
        <v>171.5</v>
      </c>
      <c r="D96" s="215">
        <f>D97</f>
        <v>211.1</v>
      </c>
    </row>
    <row r="97" spans="1:4" ht="67.2">
      <c r="A97" s="224" t="s">
        <v>782</v>
      </c>
      <c r="B97" s="214" t="s">
        <v>783</v>
      </c>
      <c r="C97" s="215">
        <v>171.5</v>
      </c>
      <c r="D97" s="215">
        <v>211.1</v>
      </c>
    </row>
    <row r="98" spans="1:4" ht="50.4">
      <c r="A98" s="224" t="s">
        <v>784</v>
      </c>
      <c r="B98" s="214" t="s">
        <v>785</v>
      </c>
      <c r="C98" s="215">
        <v>7.5</v>
      </c>
      <c r="D98" s="215">
        <v>7.5</v>
      </c>
    </row>
    <row r="99" spans="1:4" ht="33.6">
      <c r="A99" s="222" t="s">
        <v>786</v>
      </c>
      <c r="B99" s="214" t="s">
        <v>787</v>
      </c>
      <c r="C99" s="215">
        <f>C100</f>
        <v>20</v>
      </c>
      <c r="D99" s="215">
        <f>D100</f>
        <v>17</v>
      </c>
    </row>
    <row r="100" spans="1:4" ht="50.4">
      <c r="A100" s="222" t="s">
        <v>788</v>
      </c>
      <c r="B100" s="214" t="s">
        <v>789</v>
      </c>
      <c r="C100" s="215">
        <v>20</v>
      </c>
      <c r="D100" s="215">
        <v>17</v>
      </c>
    </row>
    <row r="101" spans="1:4" ht="18" customHeight="1">
      <c r="A101" s="213" t="s">
        <v>790</v>
      </c>
      <c r="B101" s="214" t="s">
        <v>791</v>
      </c>
      <c r="C101" s="215">
        <f>C102</f>
        <v>1780.7</v>
      </c>
      <c r="D101" s="215">
        <f>D102</f>
        <v>2086.1</v>
      </c>
    </row>
    <row r="102" spans="1:4" ht="33.6">
      <c r="A102" s="213" t="s">
        <v>792</v>
      </c>
      <c r="B102" s="214" t="s">
        <v>793</v>
      </c>
      <c r="C102" s="215">
        <v>1780.7</v>
      </c>
      <c r="D102" s="215">
        <v>2086.1</v>
      </c>
    </row>
    <row r="103" spans="1:4" ht="12.75">
      <c r="A103" s="210" t="s">
        <v>794</v>
      </c>
      <c r="B103" s="211" t="s">
        <v>795</v>
      </c>
      <c r="C103" s="212">
        <f>C104+C156</f>
        <v>341145.19999999995</v>
      </c>
      <c r="D103" s="212">
        <f>D104+D156+D160+D163</f>
        <v>329313.80000000005</v>
      </c>
    </row>
    <row r="104" spans="1:4" ht="33.6">
      <c r="A104" s="225" t="s">
        <v>796</v>
      </c>
      <c r="B104" s="226" t="s">
        <v>797</v>
      </c>
      <c r="C104" s="212">
        <f>C105+C139+C108+C151</f>
        <v>333155.19999999995</v>
      </c>
      <c r="D104" s="212">
        <f>D105+D139+D108+D151</f>
        <v>328188.60000000003</v>
      </c>
    </row>
    <row r="105" spans="1:4" ht="33.6">
      <c r="A105" s="225" t="s">
        <v>798</v>
      </c>
      <c r="B105" s="226" t="s">
        <v>799</v>
      </c>
      <c r="C105" s="212">
        <f>C106</f>
        <v>363.7</v>
      </c>
      <c r="D105" s="212">
        <f>D106</f>
        <v>363.7</v>
      </c>
    </row>
    <row r="106" spans="1:4" ht="18" customHeight="1">
      <c r="A106" s="227" t="s">
        <v>800</v>
      </c>
      <c r="B106" s="228" t="s">
        <v>801</v>
      </c>
      <c r="C106" s="215">
        <f>C107</f>
        <v>363.7</v>
      </c>
      <c r="D106" s="215">
        <f>D107</f>
        <v>363.7</v>
      </c>
    </row>
    <row r="107" spans="1:4" ht="33.6">
      <c r="A107" s="227" t="s">
        <v>802</v>
      </c>
      <c r="B107" s="228" t="s">
        <v>803</v>
      </c>
      <c r="C107" s="215">
        <v>363.7</v>
      </c>
      <c r="D107" s="215">
        <v>363.7</v>
      </c>
    </row>
    <row r="108" spans="1:4" ht="33.6">
      <c r="A108" s="229" t="s">
        <v>804</v>
      </c>
      <c r="B108" s="230" t="s">
        <v>805</v>
      </c>
      <c r="C108" s="212">
        <f>C109+C111+C113+C115+C118+C121+C123+C125</f>
        <v>58910.50000000001</v>
      </c>
      <c r="D108" s="212">
        <f>D109+D111+D113+D115+D118+D121+D123+D125</f>
        <v>51019.100000000006</v>
      </c>
    </row>
    <row r="109" spans="1:4" ht="12.75">
      <c r="A109" s="231" t="s">
        <v>806</v>
      </c>
      <c r="B109" s="228" t="s">
        <v>807</v>
      </c>
      <c r="C109" s="215">
        <f>C110</f>
        <v>141.9</v>
      </c>
      <c r="D109" s="215">
        <f>D110</f>
        <v>141.9</v>
      </c>
    </row>
    <row r="110" spans="1:4" ht="12.75">
      <c r="A110" s="231" t="s">
        <v>808</v>
      </c>
      <c r="B110" s="228" t="s">
        <v>809</v>
      </c>
      <c r="C110" s="215">
        <v>141.9</v>
      </c>
      <c r="D110" s="215">
        <v>141.9</v>
      </c>
    </row>
    <row r="111" spans="1:4" ht="12.75">
      <c r="A111" s="231" t="s">
        <v>810</v>
      </c>
      <c r="B111" s="228" t="s">
        <v>811</v>
      </c>
      <c r="C111" s="215">
        <f>C112</f>
        <v>1515.7</v>
      </c>
      <c r="D111" s="215">
        <f>D112</f>
        <v>1515.7</v>
      </c>
    </row>
    <row r="112" spans="1:5" ht="15.6" customHeight="1">
      <c r="A112" s="231" t="s">
        <v>812</v>
      </c>
      <c r="B112" s="228" t="s">
        <v>813</v>
      </c>
      <c r="C112" s="215">
        <v>1515.7</v>
      </c>
      <c r="D112" s="215">
        <f>448.3+1067.4</f>
        <v>1515.7</v>
      </c>
      <c r="E112" s="232"/>
    </row>
    <row r="113" spans="1:4" ht="33.6">
      <c r="A113" s="231" t="s">
        <v>814</v>
      </c>
      <c r="B113" s="228" t="s">
        <v>815</v>
      </c>
      <c r="C113" s="215">
        <f>C114</f>
        <v>2478</v>
      </c>
      <c r="D113" s="215">
        <f>D114</f>
        <v>595.6</v>
      </c>
    </row>
    <row r="114" spans="1:4" ht="33.6">
      <c r="A114" s="231" t="s">
        <v>816</v>
      </c>
      <c r="B114" s="228" t="s">
        <v>817</v>
      </c>
      <c r="C114" s="215">
        <v>2478</v>
      </c>
      <c r="D114" s="215">
        <v>595.6</v>
      </c>
    </row>
    <row r="115" spans="1:4" ht="84">
      <c r="A115" s="231" t="s">
        <v>818</v>
      </c>
      <c r="B115" s="228" t="s">
        <v>819</v>
      </c>
      <c r="C115" s="215">
        <f>C116</f>
        <v>495.1</v>
      </c>
      <c r="D115" s="215">
        <f>D116</f>
        <v>495.1</v>
      </c>
    </row>
    <row r="116" spans="1:4" ht="84">
      <c r="A116" s="231" t="s">
        <v>820</v>
      </c>
      <c r="B116" s="228" t="s">
        <v>821</v>
      </c>
      <c r="C116" s="215">
        <f>C117</f>
        <v>495.1</v>
      </c>
      <c r="D116" s="215">
        <f>D117</f>
        <v>495.1</v>
      </c>
    </row>
    <row r="117" spans="1:4" ht="66.6" customHeight="1">
      <c r="A117" s="231" t="s">
        <v>822</v>
      </c>
      <c r="B117" s="228" t="s">
        <v>823</v>
      </c>
      <c r="C117" s="215">
        <v>495.1</v>
      </c>
      <c r="D117" s="215">
        <v>495.1</v>
      </c>
    </row>
    <row r="118" spans="1:4" ht="67.2">
      <c r="A118" s="231" t="s">
        <v>824</v>
      </c>
      <c r="B118" s="228" t="s">
        <v>825</v>
      </c>
      <c r="C118" s="215">
        <f>C119</f>
        <v>579.4</v>
      </c>
      <c r="D118" s="215">
        <f>D119</f>
        <v>579.4</v>
      </c>
    </row>
    <row r="119" spans="1:4" ht="55.8" customHeight="1">
      <c r="A119" s="231" t="s">
        <v>826</v>
      </c>
      <c r="B119" s="228" t="s">
        <v>827</v>
      </c>
      <c r="C119" s="215">
        <f>C120</f>
        <v>579.4</v>
      </c>
      <c r="D119" s="215">
        <f>D120</f>
        <v>579.4</v>
      </c>
    </row>
    <row r="120" spans="1:4" ht="50.4">
      <c r="A120" s="231" t="s">
        <v>828</v>
      </c>
      <c r="B120" s="228" t="s">
        <v>829</v>
      </c>
      <c r="C120" s="215">
        <v>579.4</v>
      </c>
      <c r="D120" s="215">
        <v>579.4</v>
      </c>
    </row>
    <row r="121" spans="1:4" ht="18.6" customHeight="1">
      <c r="A121" s="231" t="s">
        <v>830</v>
      </c>
      <c r="B121" s="228" t="s">
        <v>831</v>
      </c>
      <c r="C121" s="215">
        <f>C122</f>
        <v>194.5</v>
      </c>
      <c r="D121" s="215">
        <f>D122</f>
        <v>194.5</v>
      </c>
    </row>
    <row r="122" spans="1:4" ht="33.6">
      <c r="A122" s="231" t="s">
        <v>832</v>
      </c>
      <c r="B122" s="228" t="s">
        <v>833</v>
      </c>
      <c r="C122" s="215">
        <v>194.5</v>
      </c>
      <c r="D122" s="215">
        <v>194.5</v>
      </c>
    </row>
    <row r="123" spans="1:4" ht="67.2">
      <c r="A123" s="222" t="s">
        <v>834</v>
      </c>
      <c r="B123" s="228" t="s">
        <v>835</v>
      </c>
      <c r="C123" s="215">
        <f>C124</f>
        <v>20479.2</v>
      </c>
      <c r="D123" s="215">
        <f>D124</f>
        <v>20479.2</v>
      </c>
    </row>
    <row r="124" spans="1:4" ht="67.2">
      <c r="A124" s="222" t="s">
        <v>836</v>
      </c>
      <c r="B124" s="228" t="s">
        <v>837</v>
      </c>
      <c r="C124" s="215">
        <f>21934.5-1455.3</f>
        <v>20479.2</v>
      </c>
      <c r="D124" s="215">
        <f>11774.2+8705</f>
        <v>20479.2</v>
      </c>
    </row>
    <row r="125" spans="1:4" ht="12.75">
      <c r="A125" s="231" t="s">
        <v>838</v>
      </c>
      <c r="B125" s="228" t="s">
        <v>839</v>
      </c>
      <c r="C125" s="215">
        <f>SUM(C126:C138)</f>
        <v>33026.700000000004</v>
      </c>
      <c r="D125" s="215">
        <f>SUM(D126:D138)</f>
        <v>27017.700000000004</v>
      </c>
    </row>
    <row r="126" spans="1:4" ht="33.6">
      <c r="A126" s="231" t="s">
        <v>840</v>
      </c>
      <c r="B126" s="228" t="s">
        <v>841</v>
      </c>
      <c r="C126" s="215">
        <v>4234</v>
      </c>
      <c r="D126" s="215">
        <v>4234</v>
      </c>
    </row>
    <row r="127" spans="1:5" ht="12.75">
      <c r="A127" s="231" t="s">
        <v>840</v>
      </c>
      <c r="B127" s="233" t="s">
        <v>842</v>
      </c>
      <c r="C127" s="215">
        <v>2890.8</v>
      </c>
      <c r="D127" s="215">
        <f>205.3+2685.5</f>
        <v>2890.8</v>
      </c>
      <c r="E127" s="232"/>
    </row>
    <row r="128" spans="1:4" ht="102" customHeight="1">
      <c r="A128" s="231" t="s">
        <v>840</v>
      </c>
      <c r="B128" s="228" t="s">
        <v>843</v>
      </c>
      <c r="C128" s="215">
        <v>153.6</v>
      </c>
      <c r="D128" s="215">
        <v>196</v>
      </c>
    </row>
    <row r="129" spans="1:4" ht="12.75">
      <c r="A129" s="231" t="s">
        <v>840</v>
      </c>
      <c r="B129" s="228" t="s">
        <v>460</v>
      </c>
      <c r="C129" s="215">
        <v>521.6</v>
      </c>
      <c r="D129" s="215">
        <v>521.6</v>
      </c>
    </row>
    <row r="130" spans="1:4" ht="50.4">
      <c r="A130" s="231" t="s">
        <v>840</v>
      </c>
      <c r="B130" s="228" t="s">
        <v>844</v>
      </c>
      <c r="C130" s="215">
        <v>4369.4</v>
      </c>
      <c r="D130" s="215">
        <v>4369.4</v>
      </c>
    </row>
    <row r="131" spans="1:4" ht="33.6">
      <c r="A131" s="231" t="s">
        <v>840</v>
      </c>
      <c r="B131" s="228" t="s">
        <v>845</v>
      </c>
      <c r="C131" s="215">
        <v>742.3</v>
      </c>
      <c r="D131" s="215">
        <v>742.3</v>
      </c>
    </row>
    <row r="132" spans="1:4" ht="12.75">
      <c r="A132" s="231" t="s">
        <v>840</v>
      </c>
      <c r="B132" s="228" t="s">
        <v>846</v>
      </c>
      <c r="C132" s="215">
        <v>45.1</v>
      </c>
      <c r="D132" s="215">
        <v>45.1</v>
      </c>
    </row>
    <row r="133" spans="1:4" ht="37.8" customHeight="1">
      <c r="A133" s="231" t="s">
        <v>840</v>
      </c>
      <c r="B133" s="228" t="s">
        <v>847</v>
      </c>
      <c r="C133" s="215">
        <v>167.1</v>
      </c>
      <c r="D133" s="215">
        <v>167.1</v>
      </c>
    </row>
    <row r="134" spans="1:4" ht="33.6">
      <c r="A134" s="231" t="s">
        <v>840</v>
      </c>
      <c r="B134" s="228" t="s">
        <v>466</v>
      </c>
      <c r="C134" s="215">
        <v>12216.6</v>
      </c>
      <c r="D134" s="215">
        <v>12216.6</v>
      </c>
    </row>
    <row r="135" spans="1:4" ht="67.2">
      <c r="A135" s="231" t="s">
        <v>840</v>
      </c>
      <c r="B135" s="228" t="s">
        <v>848</v>
      </c>
      <c r="C135" s="215">
        <v>6051.4</v>
      </c>
      <c r="D135" s="215">
        <v>0</v>
      </c>
    </row>
    <row r="136" spans="1:4" ht="34.8" customHeight="1">
      <c r="A136" s="231" t="s">
        <v>840</v>
      </c>
      <c r="B136" s="228" t="s">
        <v>849</v>
      </c>
      <c r="C136" s="215">
        <v>457.4</v>
      </c>
      <c r="D136" s="215">
        <v>457.4</v>
      </c>
    </row>
    <row r="137" spans="1:4" ht="67.2">
      <c r="A137" s="231" t="s">
        <v>840</v>
      </c>
      <c r="B137" s="228" t="s">
        <v>850</v>
      </c>
      <c r="C137" s="215">
        <v>927.4</v>
      </c>
      <c r="D137" s="215">
        <v>927.4</v>
      </c>
    </row>
    <row r="138" spans="1:4" ht="16.8" customHeight="1">
      <c r="A138" s="231" t="s">
        <v>840</v>
      </c>
      <c r="B138" s="228" t="s">
        <v>851</v>
      </c>
      <c r="C138" s="215">
        <v>250</v>
      </c>
      <c r="D138" s="215">
        <v>250</v>
      </c>
    </row>
    <row r="139" spans="1:4" ht="33.6">
      <c r="A139" s="225" t="s">
        <v>852</v>
      </c>
      <c r="B139" s="226" t="s">
        <v>853</v>
      </c>
      <c r="C139" s="212">
        <f>C140+C142+C144+C146</f>
        <v>273692.79999999993</v>
      </c>
      <c r="D139" s="212">
        <f>D140+D142+D144+D146</f>
        <v>276363.1</v>
      </c>
    </row>
    <row r="140" spans="1:4" ht="19.2" customHeight="1">
      <c r="A140" s="231" t="s">
        <v>854</v>
      </c>
      <c r="B140" s="233" t="s">
        <v>855</v>
      </c>
      <c r="C140" s="215">
        <f>C141</f>
        <v>1419.2</v>
      </c>
      <c r="D140" s="215">
        <f>D141</f>
        <v>1419.2</v>
      </c>
    </row>
    <row r="141" spans="1:4" ht="33.6">
      <c r="A141" s="231" t="s">
        <v>856</v>
      </c>
      <c r="B141" s="233" t="s">
        <v>857</v>
      </c>
      <c r="C141" s="215">
        <f>1404+15.2</f>
        <v>1419.2</v>
      </c>
      <c r="D141" s="215">
        <v>1419.2</v>
      </c>
    </row>
    <row r="142" spans="1:4" ht="67.2">
      <c r="A142" s="231" t="s">
        <v>858</v>
      </c>
      <c r="B142" s="233" t="s">
        <v>859</v>
      </c>
      <c r="C142" s="215">
        <f>C143</f>
        <v>5083.8</v>
      </c>
      <c r="D142" s="215">
        <f>D143</f>
        <v>7754.1</v>
      </c>
    </row>
    <row r="143" spans="1:4" ht="50.4">
      <c r="A143" s="231" t="s">
        <v>860</v>
      </c>
      <c r="B143" s="233" t="s">
        <v>861</v>
      </c>
      <c r="C143" s="215">
        <v>5083.8</v>
      </c>
      <c r="D143" s="215">
        <v>7754.1</v>
      </c>
    </row>
    <row r="144" spans="1:4" ht="50.4">
      <c r="A144" s="231" t="s">
        <v>862</v>
      </c>
      <c r="B144" s="233" t="s">
        <v>863</v>
      </c>
      <c r="C144" s="215">
        <f>C145</f>
        <v>6421.5</v>
      </c>
      <c r="D144" s="215">
        <f>D145</f>
        <v>6421.5</v>
      </c>
    </row>
    <row r="145" spans="1:4" ht="50.4">
      <c r="A145" s="231" t="s">
        <v>864</v>
      </c>
      <c r="B145" s="233" t="s">
        <v>865</v>
      </c>
      <c r="C145" s="215">
        <v>6421.5</v>
      </c>
      <c r="D145" s="215">
        <v>6421.5</v>
      </c>
    </row>
    <row r="146" spans="1:4" ht="12.75">
      <c r="A146" s="231" t="s">
        <v>866</v>
      </c>
      <c r="B146" s="233" t="s">
        <v>867</v>
      </c>
      <c r="C146" s="215">
        <f>SUM(C147:C150)</f>
        <v>260768.29999999996</v>
      </c>
      <c r="D146" s="215">
        <f>SUM(D147:D150)</f>
        <v>260768.29999999996</v>
      </c>
    </row>
    <row r="147" spans="1:4" ht="70.2" customHeight="1">
      <c r="A147" s="231" t="s">
        <v>868</v>
      </c>
      <c r="B147" s="233" t="s">
        <v>869</v>
      </c>
      <c r="C147" s="215">
        <f>170210+1778.9</f>
        <v>171988.9</v>
      </c>
      <c r="D147" s="215">
        <v>171988.9</v>
      </c>
    </row>
    <row r="148" spans="1:4" ht="50.4">
      <c r="A148" s="231" t="s">
        <v>868</v>
      </c>
      <c r="B148" s="233" t="s">
        <v>870</v>
      </c>
      <c r="C148" s="215">
        <f>84922+2980.7</f>
        <v>87902.7</v>
      </c>
      <c r="D148" s="215">
        <v>87902.7</v>
      </c>
    </row>
    <row r="149" spans="1:4" ht="37.8" customHeight="1">
      <c r="A149" s="231" t="s">
        <v>868</v>
      </c>
      <c r="B149" s="233" t="s">
        <v>871</v>
      </c>
      <c r="C149" s="215">
        <v>623.4</v>
      </c>
      <c r="D149" s="215">
        <v>623.4</v>
      </c>
    </row>
    <row r="150" spans="1:4" ht="50.4">
      <c r="A150" s="231" t="s">
        <v>868</v>
      </c>
      <c r="B150" s="233" t="s">
        <v>872</v>
      </c>
      <c r="C150" s="215">
        <v>253.3</v>
      </c>
      <c r="D150" s="215">
        <v>253.3</v>
      </c>
    </row>
    <row r="151" spans="1:4" ht="12.75">
      <c r="A151" s="225" t="s">
        <v>873</v>
      </c>
      <c r="B151" s="226" t="s">
        <v>874</v>
      </c>
      <c r="C151" s="212">
        <f>C154+C152</f>
        <v>188.2</v>
      </c>
      <c r="D151" s="212">
        <f>D154+D152</f>
        <v>442.7</v>
      </c>
    </row>
    <row r="152" spans="1:4" ht="36.6" customHeight="1">
      <c r="A152" s="231" t="s">
        <v>875</v>
      </c>
      <c r="B152" s="233" t="s">
        <v>876</v>
      </c>
      <c r="C152" s="215">
        <f>C153</f>
        <v>0</v>
      </c>
      <c r="D152" s="215">
        <f>D153</f>
        <v>254.5</v>
      </c>
    </row>
    <row r="153" spans="1:4" ht="50.4">
      <c r="A153" s="231" t="s">
        <v>877</v>
      </c>
      <c r="B153" s="233" t="s">
        <v>878</v>
      </c>
      <c r="C153" s="215">
        <v>0</v>
      </c>
      <c r="D153" s="215">
        <v>254.5</v>
      </c>
    </row>
    <row r="154" spans="1:4" ht="12.75">
      <c r="A154" s="231" t="s">
        <v>879</v>
      </c>
      <c r="B154" s="228" t="s">
        <v>880</v>
      </c>
      <c r="C154" s="215">
        <f>C155</f>
        <v>188.2</v>
      </c>
      <c r="D154" s="215">
        <f>D155</f>
        <v>188.2</v>
      </c>
    </row>
    <row r="155" spans="1:4" ht="12.75">
      <c r="A155" s="231" t="s">
        <v>881</v>
      </c>
      <c r="B155" s="228" t="s">
        <v>882</v>
      </c>
      <c r="C155" s="215">
        <v>188.2</v>
      </c>
      <c r="D155" s="215">
        <v>188.2</v>
      </c>
    </row>
    <row r="156" spans="1:4" ht="12.75">
      <c r="A156" s="225" t="s">
        <v>883</v>
      </c>
      <c r="B156" s="226" t="s">
        <v>884</v>
      </c>
      <c r="C156" s="212">
        <f>C157</f>
        <v>7990</v>
      </c>
      <c r="D156" s="212">
        <f>D157</f>
        <v>2200</v>
      </c>
    </row>
    <row r="157" spans="1:4" ht="12.75">
      <c r="A157" s="231" t="s">
        <v>885</v>
      </c>
      <c r="B157" s="233" t="s">
        <v>886</v>
      </c>
      <c r="C157" s="215">
        <f>SUM(C158:C159)</f>
        <v>7990</v>
      </c>
      <c r="D157" s="215">
        <f>SUM(D158:D159)</f>
        <v>2200</v>
      </c>
    </row>
    <row r="158" spans="1:4" ht="54.6" customHeight="1">
      <c r="A158" s="231" t="s">
        <v>887</v>
      </c>
      <c r="B158" s="233" t="s">
        <v>888</v>
      </c>
      <c r="C158" s="215">
        <v>400</v>
      </c>
      <c r="D158" s="215">
        <v>400</v>
      </c>
    </row>
    <row r="159" spans="1:4" ht="12.75">
      <c r="A159" s="231" t="s">
        <v>889</v>
      </c>
      <c r="B159" s="233" t="s">
        <v>890</v>
      </c>
      <c r="C159" s="215">
        <v>7590</v>
      </c>
      <c r="D159" s="215">
        <v>1800</v>
      </c>
    </row>
    <row r="160" spans="1:4" ht="33.6">
      <c r="A160" s="225" t="s">
        <v>891</v>
      </c>
      <c r="B160" s="234" t="s">
        <v>892</v>
      </c>
      <c r="C160" s="212">
        <f>C161</f>
        <v>0</v>
      </c>
      <c r="D160" s="212">
        <f>D161</f>
        <v>742.3</v>
      </c>
    </row>
    <row r="161" spans="1:4" ht="33.6">
      <c r="A161" s="231" t="s">
        <v>893</v>
      </c>
      <c r="B161" s="235" t="s">
        <v>894</v>
      </c>
      <c r="C161" s="215">
        <f>C162</f>
        <v>0</v>
      </c>
      <c r="D161" s="215">
        <f>D162</f>
        <v>742.3</v>
      </c>
    </row>
    <row r="162" spans="1:4" ht="33.6">
      <c r="A162" s="231" t="s">
        <v>895</v>
      </c>
      <c r="B162" s="235" t="s">
        <v>896</v>
      </c>
      <c r="C162" s="215">
        <v>0</v>
      </c>
      <c r="D162" s="215">
        <v>742.3</v>
      </c>
    </row>
    <row r="163" spans="1:4" ht="33.6">
      <c r="A163" s="236" t="s">
        <v>897</v>
      </c>
      <c r="B163" s="237" t="s">
        <v>898</v>
      </c>
      <c r="C163" s="212">
        <f>C164</f>
        <v>0</v>
      </c>
      <c r="D163" s="212">
        <f>D164</f>
        <v>-1817.1</v>
      </c>
    </row>
    <row r="164" spans="1:4" ht="33.6">
      <c r="A164" s="238" t="s">
        <v>899</v>
      </c>
      <c r="B164" s="239" t="s">
        <v>900</v>
      </c>
      <c r="C164" s="215">
        <v>0</v>
      </c>
      <c r="D164" s="215">
        <v>-1817.1</v>
      </c>
    </row>
    <row r="165" spans="1:4" ht="12.75">
      <c r="A165" s="210"/>
      <c r="B165" s="211" t="s">
        <v>41</v>
      </c>
      <c r="C165" s="212">
        <f>C8+C103+C160+C163</f>
        <v>666501</v>
      </c>
      <c r="D165" s="212">
        <f>D8+D103</f>
        <v>659190.9000000001</v>
      </c>
    </row>
  </sheetData>
  <mergeCells count="4">
    <mergeCell ref="B1:D1"/>
    <mergeCell ref="B2:D2"/>
    <mergeCell ref="B3:D3"/>
    <mergeCell ref="A5:D5"/>
  </mergeCells>
  <printOptions/>
  <pageMargins left="0.5905511811023623" right="0.1968503937007874" top="0.1968503937007874" bottom="0.1968503937007874" header="0.11811023622047245" footer="0.11811023622047245"/>
  <pageSetup fitToHeight="5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view="pageBreakPreview" zoomScaleSheetLayoutView="100" workbookViewId="0" topLeftCell="A1">
      <selection activeCell="E10" sqref="E10"/>
    </sheetView>
  </sheetViews>
  <sheetFormatPr defaultColWidth="9.125" defaultRowHeight="12.75"/>
  <cols>
    <col min="1" max="1" width="10.375" style="259" customWidth="1"/>
    <col min="2" max="2" width="59.00390625" style="271" customWidth="1"/>
    <col min="3" max="3" width="28.875" style="242" customWidth="1"/>
    <col min="4" max="4" width="16.125" style="260" customWidth="1"/>
    <col min="5" max="5" width="15.625" style="242" bestFit="1" customWidth="1"/>
    <col min="6" max="16384" width="9.125" style="242" customWidth="1"/>
  </cols>
  <sheetData>
    <row r="1" spans="1:4" ht="12.75">
      <c r="A1" s="241"/>
      <c r="B1" s="302" t="s">
        <v>1119</v>
      </c>
      <c r="C1" s="302"/>
      <c r="D1" s="302"/>
    </row>
    <row r="2" spans="1:4" ht="12.75">
      <c r="A2" s="241"/>
      <c r="B2" s="302" t="s">
        <v>901</v>
      </c>
      <c r="C2" s="302"/>
      <c r="D2" s="302"/>
    </row>
    <row r="3" spans="1:4" ht="12.75">
      <c r="A3" s="241"/>
      <c r="B3" s="302" t="s">
        <v>1135</v>
      </c>
      <c r="C3" s="302"/>
      <c r="D3" s="302"/>
    </row>
    <row r="5" spans="1:4" ht="47.4" customHeight="1">
      <c r="A5" s="303" t="s">
        <v>1125</v>
      </c>
      <c r="B5" s="303"/>
      <c r="C5" s="303"/>
      <c r="D5" s="303"/>
    </row>
    <row r="7" spans="1:4" ht="12.75">
      <c r="A7" s="304" t="s">
        <v>902</v>
      </c>
      <c r="B7" s="305" t="s">
        <v>903</v>
      </c>
      <c r="C7" s="305" t="s">
        <v>904</v>
      </c>
      <c r="D7" s="306" t="s">
        <v>905</v>
      </c>
    </row>
    <row r="8" spans="1:4" ht="12.75">
      <c r="A8" s="304"/>
      <c r="B8" s="305"/>
      <c r="C8" s="305"/>
      <c r="D8" s="306"/>
    </row>
    <row r="9" spans="1:4" s="244" customFormat="1" ht="12.75">
      <c r="A9" s="243" t="s">
        <v>906</v>
      </c>
      <c r="B9" s="299" t="s">
        <v>78</v>
      </c>
      <c r="C9" s="299"/>
      <c r="D9" s="299"/>
    </row>
    <row r="10" spans="1:4" s="244" customFormat="1" ht="33.6">
      <c r="A10" s="245"/>
      <c r="B10" s="246" t="s">
        <v>669</v>
      </c>
      <c r="C10" s="254" t="s">
        <v>907</v>
      </c>
      <c r="D10" s="263">
        <v>6</v>
      </c>
    </row>
    <row r="11" spans="1:4" s="244" customFormat="1" ht="33.6">
      <c r="A11" s="245"/>
      <c r="B11" s="264" t="s">
        <v>737</v>
      </c>
      <c r="C11" s="254" t="s">
        <v>908</v>
      </c>
      <c r="D11" s="263">
        <v>17.4</v>
      </c>
    </row>
    <row r="12" spans="1:4" s="244" customFormat="1" ht="70.2" customHeight="1">
      <c r="A12" s="245"/>
      <c r="B12" s="264" t="s">
        <v>779</v>
      </c>
      <c r="C12" s="254" t="s">
        <v>909</v>
      </c>
      <c r="D12" s="263">
        <v>2271.7</v>
      </c>
    </row>
    <row r="13" spans="1:4" ht="86.4" customHeight="1">
      <c r="A13" s="247"/>
      <c r="B13" s="264" t="s">
        <v>783</v>
      </c>
      <c r="C13" s="254" t="s">
        <v>910</v>
      </c>
      <c r="D13" s="263">
        <v>211.1</v>
      </c>
    </row>
    <row r="14" spans="1:4" ht="67.2">
      <c r="A14" s="247"/>
      <c r="B14" s="264" t="s">
        <v>911</v>
      </c>
      <c r="C14" s="254" t="s">
        <v>912</v>
      </c>
      <c r="D14" s="263">
        <v>17</v>
      </c>
    </row>
    <row r="15" spans="1:4" ht="50.4">
      <c r="A15" s="247"/>
      <c r="B15" s="264" t="s">
        <v>793</v>
      </c>
      <c r="C15" s="254" t="s">
        <v>913</v>
      </c>
      <c r="D15" s="263">
        <v>154.3</v>
      </c>
    </row>
    <row r="16" spans="1:4" ht="50.4">
      <c r="A16" s="247"/>
      <c r="B16" s="264" t="s">
        <v>817</v>
      </c>
      <c r="C16" s="254" t="s">
        <v>914</v>
      </c>
      <c r="D16" s="263">
        <v>595.6</v>
      </c>
    </row>
    <row r="17" spans="1:4" ht="123.6" customHeight="1">
      <c r="A17" s="247"/>
      <c r="B17" s="248" t="s">
        <v>823</v>
      </c>
      <c r="C17" s="254" t="s">
        <v>915</v>
      </c>
      <c r="D17" s="263">
        <v>495.1</v>
      </c>
    </row>
    <row r="18" spans="1:4" ht="84">
      <c r="A18" s="247"/>
      <c r="B18" s="248" t="s">
        <v>829</v>
      </c>
      <c r="C18" s="254" t="s">
        <v>916</v>
      </c>
      <c r="D18" s="263">
        <v>579.4</v>
      </c>
    </row>
    <row r="19" spans="1:4" ht="117.6">
      <c r="A19" s="247"/>
      <c r="B19" s="264" t="s">
        <v>837</v>
      </c>
      <c r="C19" s="254" t="s">
        <v>917</v>
      </c>
      <c r="D19" s="263">
        <v>20479.2</v>
      </c>
    </row>
    <row r="20" spans="1:4" ht="33.6">
      <c r="A20" s="247"/>
      <c r="B20" s="264" t="s">
        <v>460</v>
      </c>
      <c r="C20" s="254" t="s">
        <v>918</v>
      </c>
      <c r="D20" s="263">
        <v>521.6</v>
      </c>
    </row>
    <row r="21" spans="1:4" ht="33.6">
      <c r="A21" s="247"/>
      <c r="B21" s="264" t="s">
        <v>851</v>
      </c>
      <c r="C21" s="254" t="s">
        <v>918</v>
      </c>
      <c r="D21" s="263">
        <v>250</v>
      </c>
    </row>
    <row r="22" spans="1:4" ht="67.2">
      <c r="A22" s="247"/>
      <c r="B22" s="264" t="s">
        <v>847</v>
      </c>
      <c r="C22" s="254" t="s">
        <v>918</v>
      </c>
      <c r="D22" s="263">
        <v>167.1</v>
      </c>
    </row>
    <row r="23" spans="1:4" ht="12.75">
      <c r="A23" s="247"/>
      <c r="B23" s="264" t="s">
        <v>846</v>
      </c>
      <c r="C23" s="254" t="s">
        <v>918</v>
      </c>
      <c r="D23" s="263">
        <v>45.1</v>
      </c>
    </row>
    <row r="24" spans="1:4" ht="50.4">
      <c r="A24" s="247"/>
      <c r="B24" s="264" t="s">
        <v>857</v>
      </c>
      <c r="C24" s="254" t="s">
        <v>919</v>
      </c>
      <c r="D24" s="263">
        <v>1419.2</v>
      </c>
    </row>
    <row r="25" spans="1:4" ht="67.2">
      <c r="A25" s="247"/>
      <c r="B25" s="249" t="s">
        <v>871</v>
      </c>
      <c r="C25" s="254" t="s">
        <v>920</v>
      </c>
      <c r="D25" s="263">
        <v>623.4</v>
      </c>
    </row>
    <row r="26" spans="1:4" ht="85.8" customHeight="1">
      <c r="A26" s="247"/>
      <c r="B26" s="249" t="s">
        <v>872</v>
      </c>
      <c r="C26" s="254" t="s">
        <v>920</v>
      </c>
      <c r="D26" s="263">
        <v>253.3</v>
      </c>
    </row>
    <row r="27" spans="1:4" ht="75" customHeight="1">
      <c r="A27" s="247"/>
      <c r="B27" s="264" t="s">
        <v>878</v>
      </c>
      <c r="C27" s="254" t="s">
        <v>921</v>
      </c>
      <c r="D27" s="263">
        <v>254.5</v>
      </c>
    </row>
    <row r="28" spans="1:4" ht="84">
      <c r="A28" s="247"/>
      <c r="B28" s="249" t="s">
        <v>922</v>
      </c>
      <c r="C28" s="254" t="s">
        <v>923</v>
      </c>
      <c r="D28" s="263">
        <v>63.2</v>
      </c>
    </row>
    <row r="29" spans="1:4" ht="100.8">
      <c r="A29" s="247"/>
      <c r="B29" s="264" t="s">
        <v>888</v>
      </c>
      <c r="C29" s="254" t="s">
        <v>924</v>
      </c>
      <c r="D29" s="263">
        <v>400</v>
      </c>
    </row>
    <row r="30" spans="1:4" ht="33.6">
      <c r="A30" s="247"/>
      <c r="B30" s="264" t="s">
        <v>890</v>
      </c>
      <c r="C30" s="254" t="s">
        <v>925</v>
      </c>
      <c r="D30" s="263">
        <v>1800</v>
      </c>
    </row>
    <row r="31" spans="1:5" ht="67.2">
      <c r="A31" s="247"/>
      <c r="B31" s="264" t="s">
        <v>900</v>
      </c>
      <c r="C31" s="254" t="s">
        <v>926</v>
      </c>
      <c r="D31" s="263">
        <v>-1539.2</v>
      </c>
      <c r="E31" s="250"/>
    </row>
    <row r="32" spans="1:4" s="244" customFormat="1" ht="12.75">
      <c r="A32" s="251" t="s">
        <v>927</v>
      </c>
      <c r="B32" s="300" t="s">
        <v>50</v>
      </c>
      <c r="C32" s="300"/>
      <c r="D32" s="300"/>
    </row>
    <row r="33" spans="1:4" s="244" customFormat="1" ht="33.6">
      <c r="A33" s="251"/>
      <c r="B33" s="246" t="s">
        <v>803</v>
      </c>
      <c r="C33" s="272" t="s">
        <v>928</v>
      </c>
      <c r="D33" s="263">
        <v>363.7</v>
      </c>
    </row>
    <row r="34" spans="1:4" s="244" customFormat="1" ht="67.2">
      <c r="A34" s="245"/>
      <c r="B34" s="249" t="s">
        <v>466</v>
      </c>
      <c r="C34" s="254" t="s">
        <v>929</v>
      </c>
      <c r="D34" s="263">
        <v>12216.6</v>
      </c>
    </row>
    <row r="35" spans="1:4" s="244" customFormat="1" ht="12.75">
      <c r="A35" s="243" t="s">
        <v>930</v>
      </c>
      <c r="B35" s="296" t="s">
        <v>351</v>
      </c>
      <c r="C35" s="296"/>
      <c r="D35" s="296"/>
    </row>
    <row r="36" spans="1:4" s="244" customFormat="1" ht="100.8">
      <c r="A36" s="245"/>
      <c r="B36" s="246" t="s">
        <v>695</v>
      </c>
      <c r="C36" s="254" t="s">
        <v>931</v>
      </c>
      <c r="D36" s="263">
        <v>1169.2</v>
      </c>
    </row>
    <row r="37" spans="1:4" s="244" customFormat="1" ht="50.4">
      <c r="A37" s="245"/>
      <c r="B37" s="264" t="s">
        <v>699</v>
      </c>
      <c r="C37" s="254" t="s">
        <v>932</v>
      </c>
      <c r="D37" s="263">
        <v>17034</v>
      </c>
    </row>
    <row r="38" spans="1:4" s="244" customFormat="1" ht="67.2">
      <c r="A38" s="245"/>
      <c r="B38" s="246" t="s">
        <v>705</v>
      </c>
      <c r="C38" s="254" t="s">
        <v>933</v>
      </c>
      <c r="D38" s="263">
        <v>95.1</v>
      </c>
    </row>
    <row r="39" spans="1:4" s="244" customFormat="1" ht="84">
      <c r="A39" s="245"/>
      <c r="B39" s="246" t="s">
        <v>711</v>
      </c>
      <c r="C39" s="254" t="s">
        <v>934</v>
      </c>
      <c r="D39" s="263">
        <v>16.2</v>
      </c>
    </row>
    <row r="40" spans="1:4" s="244" customFormat="1" ht="33.6">
      <c r="A40" s="245"/>
      <c r="B40" s="264" t="s">
        <v>731</v>
      </c>
      <c r="C40" s="254" t="s">
        <v>935</v>
      </c>
      <c r="D40" s="263">
        <v>1062.5</v>
      </c>
    </row>
    <row r="41" spans="1:4" s="244" customFormat="1" ht="117.6">
      <c r="A41" s="245"/>
      <c r="B41" s="246" t="s">
        <v>745</v>
      </c>
      <c r="C41" s="254" t="s">
        <v>936</v>
      </c>
      <c r="D41" s="263">
        <v>20647</v>
      </c>
    </row>
    <row r="42" spans="1:4" s="244" customFormat="1" ht="67.2">
      <c r="A42" s="245"/>
      <c r="B42" s="264" t="s">
        <v>755</v>
      </c>
      <c r="C42" s="254" t="s">
        <v>937</v>
      </c>
      <c r="D42" s="263">
        <v>1600</v>
      </c>
    </row>
    <row r="43" spans="1:4" s="244" customFormat="1" ht="84">
      <c r="A43" s="245"/>
      <c r="B43" s="264" t="s">
        <v>938</v>
      </c>
      <c r="C43" s="254" t="s">
        <v>939</v>
      </c>
      <c r="D43" s="263">
        <v>6421.5</v>
      </c>
    </row>
    <row r="44" spans="1:4" s="244" customFormat="1" ht="67.2">
      <c r="A44" s="245"/>
      <c r="B44" s="264" t="s">
        <v>900</v>
      </c>
      <c r="C44" s="254" t="s">
        <v>926</v>
      </c>
      <c r="D44" s="263">
        <v>-43.4</v>
      </c>
    </row>
    <row r="45" spans="1:4" s="244" customFormat="1" ht="12.75">
      <c r="A45" s="243" t="s">
        <v>940</v>
      </c>
      <c r="B45" s="296" t="s">
        <v>367</v>
      </c>
      <c r="C45" s="296"/>
      <c r="D45" s="296"/>
    </row>
    <row r="46" spans="1:4" s="244" customFormat="1" ht="33.6">
      <c r="A46" s="243"/>
      <c r="B46" s="264" t="s">
        <v>737</v>
      </c>
      <c r="C46" s="254" t="s">
        <v>941</v>
      </c>
      <c r="D46" s="263">
        <v>0.8</v>
      </c>
    </row>
    <row r="47" spans="1:4" s="244" customFormat="1" ht="33.6">
      <c r="A47" s="245"/>
      <c r="B47" s="264" t="s">
        <v>809</v>
      </c>
      <c r="C47" s="254" t="s">
        <v>942</v>
      </c>
      <c r="D47" s="263">
        <v>141.9</v>
      </c>
    </row>
    <row r="48" spans="1:4" s="244" customFormat="1" ht="33.6">
      <c r="A48" s="245"/>
      <c r="B48" s="264" t="s">
        <v>813</v>
      </c>
      <c r="C48" s="254" t="s">
        <v>943</v>
      </c>
      <c r="D48" s="263">
        <v>448.3</v>
      </c>
    </row>
    <row r="49" spans="1:4" s="244" customFormat="1" ht="33.6">
      <c r="A49" s="245"/>
      <c r="B49" s="264" t="s">
        <v>842</v>
      </c>
      <c r="C49" s="254" t="s">
        <v>944</v>
      </c>
      <c r="D49" s="263">
        <v>205.3</v>
      </c>
    </row>
    <row r="50" spans="1:5" s="244" customFormat="1" ht="84">
      <c r="A50" s="245"/>
      <c r="B50" s="249" t="s">
        <v>922</v>
      </c>
      <c r="C50" s="254" t="s">
        <v>945</v>
      </c>
      <c r="D50" s="263">
        <v>50</v>
      </c>
      <c r="E50" s="252"/>
    </row>
    <row r="51" spans="1:4" s="244" customFormat="1" ht="12.75">
      <c r="A51" s="243" t="s">
        <v>946</v>
      </c>
      <c r="B51" s="300" t="s">
        <v>371</v>
      </c>
      <c r="C51" s="300"/>
      <c r="D51" s="300"/>
    </row>
    <row r="52" spans="1:4" s="244" customFormat="1" ht="33.6">
      <c r="A52" s="245"/>
      <c r="B52" s="264" t="s">
        <v>737</v>
      </c>
      <c r="C52" s="254" t="s">
        <v>947</v>
      </c>
      <c r="D52" s="263">
        <v>95.7</v>
      </c>
    </row>
    <row r="53" spans="1:4" ht="33.6">
      <c r="A53" s="253"/>
      <c r="B53" s="264" t="s">
        <v>813</v>
      </c>
      <c r="C53" s="254" t="s">
        <v>948</v>
      </c>
      <c r="D53" s="263">
        <v>1067.4</v>
      </c>
    </row>
    <row r="54" spans="1:4" ht="50.4">
      <c r="A54" s="253"/>
      <c r="B54" s="264" t="s">
        <v>833</v>
      </c>
      <c r="C54" s="254" t="s">
        <v>949</v>
      </c>
      <c r="D54" s="263">
        <v>194.5</v>
      </c>
    </row>
    <row r="55" spans="1:4" ht="36.6" customHeight="1">
      <c r="A55" s="253"/>
      <c r="B55" s="248" t="s">
        <v>845</v>
      </c>
      <c r="C55" s="254" t="s">
        <v>950</v>
      </c>
      <c r="D55" s="263">
        <v>742.3</v>
      </c>
    </row>
    <row r="56" spans="1:4" ht="51" customHeight="1">
      <c r="A56" s="253"/>
      <c r="B56" s="264" t="s">
        <v>841</v>
      </c>
      <c r="C56" s="254" t="s">
        <v>950</v>
      </c>
      <c r="D56" s="263">
        <v>4234</v>
      </c>
    </row>
    <row r="57" spans="1:4" ht="69" customHeight="1">
      <c r="A57" s="253"/>
      <c r="B57" s="264" t="s">
        <v>844</v>
      </c>
      <c r="C57" s="254" t="s">
        <v>950</v>
      </c>
      <c r="D57" s="263">
        <v>4369.4</v>
      </c>
    </row>
    <row r="58" spans="1:4" ht="184.8">
      <c r="A58" s="253"/>
      <c r="B58" s="248" t="s">
        <v>843</v>
      </c>
      <c r="C58" s="254" t="s">
        <v>950</v>
      </c>
      <c r="D58" s="263">
        <v>196</v>
      </c>
    </row>
    <row r="59" spans="1:4" ht="33.6">
      <c r="A59" s="253"/>
      <c r="B59" s="249" t="s">
        <v>842</v>
      </c>
      <c r="C59" s="254" t="s">
        <v>950</v>
      </c>
      <c r="D59" s="263">
        <v>2685.5</v>
      </c>
    </row>
    <row r="60" spans="1:4" ht="67.2">
      <c r="A60" s="253"/>
      <c r="B60" s="264" t="s">
        <v>849</v>
      </c>
      <c r="C60" s="254" t="s">
        <v>950</v>
      </c>
      <c r="D60" s="263">
        <v>457.4</v>
      </c>
    </row>
    <row r="61" spans="1:4" ht="100.8">
      <c r="A61" s="253"/>
      <c r="B61" s="264" t="s">
        <v>850</v>
      </c>
      <c r="C61" s="254" t="s">
        <v>950</v>
      </c>
      <c r="D61" s="263">
        <v>927.4</v>
      </c>
    </row>
    <row r="62" spans="1:4" ht="100.8">
      <c r="A62" s="253"/>
      <c r="B62" s="249" t="s">
        <v>861</v>
      </c>
      <c r="C62" s="254" t="s">
        <v>951</v>
      </c>
      <c r="D62" s="263">
        <v>7754.1</v>
      </c>
    </row>
    <row r="63" spans="1:4" ht="123.6" customHeight="1">
      <c r="A63" s="253"/>
      <c r="B63" s="249" t="s">
        <v>869</v>
      </c>
      <c r="C63" s="254" t="s">
        <v>952</v>
      </c>
      <c r="D63" s="263">
        <v>171988.9</v>
      </c>
    </row>
    <row r="64" spans="1:4" ht="84">
      <c r="A64" s="253"/>
      <c r="B64" s="249" t="s">
        <v>870</v>
      </c>
      <c r="C64" s="254" t="s">
        <v>952</v>
      </c>
      <c r="D64" s="263">
        <v>87902.7</v>
      </c>
    </row>
    <row r="65" spans="1:4" ht="84">
      <c r="A65" s="253"/>
      <c r="B65" s="249" t="s">
        <v>922</v>
      </c>
      <c r="C65" s="254" t="s">
        <v>953</v>
      </c>
      <c r="D65" s="263">
        <v>75</v>
      </c>
    </row>
    <row r="66" spans="1:4" ht="50.4">
      <c r="A66" s="253"/>
      <c r="B66" s="264" t="s">
        <v>896</v>
      </c>
      <c r="C66" s="254" t="s">
        <v>954</v>
      </c>
      <c r="D66" s="263">
        <v>742.3</v>
      </c>
    </row>
    <row r="67" spans="1:5" ht="67.2">
      <c r="A67" s="253"/>
      <c r="B67" s="264" t="s">
        <v>900</v>
      </c>
      <c r="C67" s="254" t="s">
        <v>955</v>
      </c>
      <c r="D67" s="263">
        <v>-234.5</v>
      </c>
      <c r="E67" s="250"/>
    </row>
    <row r="68" spans="1:4" s="244" customFormat="1" ht="12.75">
      <c r="A68" s="243" t="s">
        <v>956</v>
      </c>
      <c r="B68" s="296" t="s">
        <v>957</v>
      </c>
      <c r="C68" s="296"/>
      <c r="D68" s="296"/>
    </row>
    <row r="69" spans="1:4" s="244" customFormat="1" ht="100.8">
      <c r="A69" s="245"/>
      <c r="B69" s="264" t="s">
        <v>691</v>
      </c>
      <c r="C69" s="257" t="s">
        <v>958</v>
      </c>
      <c r="D69" s="263">
        <v>19772.3</v>
      </c>
    </row>
    <row r="70" spans="1:5" s="244" customFormat="1" ht="67.2">
      <c r="A70" s="245"/>
      <c r="B70" s="265" t="s">
        <v>751</v>
      </c>
      <c r="C70" s="257" t="s">
        <v>959</v>
      </c>
      <c r="D70" s="273">
        <v>2797.1</v>
      </c>
      <c r="E70" s="255"/>
    </row>
    <row r="71" spans="1:4" s="244" customFormat="1" ht="12.75">
      <c r="A71" s="256" t="s">
        <v>960</v>
      </c>
      <c r="B71" s="296" t="s">
        <v>961</v>
      </c>
      <c r="C71" s="296"/>
      <c r="D71" s="296"/>
    </row>
    <row r="72" spans="1:4" s="244" customFormat="1" ht="33.6">
      <c r="A72" s="253"/>
      <c r="B72" s="264" t="s">
        <v>717</v>
      </c>
      <c r="C72" s="254" t="s">
        <v>962</v>
      </c>
      <c r="D72" s="263">
        <v>213.4</v>
      </c>
    </row>
    <row r="73" spans="1:4" s="244" customFormat="1" ht="33.6">
      <c r="A73" s="253"/>
      <c r="B73" s="264" t="s">
        <v>719</v>
      </c>
      <c r="C73" s="254" t="s">
        <v>963</v>
      </c>
      <c r="D73" s="263">
        <v>35</v>
      </c>
    </row>
    <row r="74" spans="1:4" s="244" customFormat="1" ht="33.6">
      <c r="A74" s="253"/>
      <c r="B74" s="264" t="s">
        <v>721</v>
      </c>
      <c r="C74" s="254" t="s">
        <v>964</v>
      </c>
      <c r="D74" s="263">
        <v>858.1</v>
      </c>
    </row>
    <row r="75" spans="1:4" s="244" customFormat="1" ht="33.6">
      <c r="A75" s="253"/>
      <c r="B75" s="264" t="s">
        <v>723</v>
      </c>
      <c r="C75" s="254" t="s">
        <v>965</v>
      </c>
      <c r="D75" s="263">
        <v>211.6</v>
      </c>
    </row>
    <row r="76" spans="1:4" s="244" customFormat="1" ht="12.75">
      <c r="A76" s="243" t="s">
        <v>966</v>
      </c>
      <c r="B76" s="301" t="s">
        <v>967</v>
      </c>
      <c r="C76" s="301"/>
      <c r="D76" s="301"/>
    </row>
    <row r="77" spans="1:5" s="244" customFormat="1" ht="50.4">
      <c r="A77" s="245"/>
      <c r="B77" s="264" t="s">
        <v>793</v>
      </c>
      <c r="C77" s="254" t="s">
        <v>968</v>
      </c>
      <c r="D77" s="263">
        <v>11.5</v>
      </c>
      <c r="E77" s="255"/>
    </row>
    <row r="78" spans="1:4" s="244" customFormat="1" ht="12.75">
      <c r="A78" s="256" t="s">
        <v>969</v>
      </c>
      <c r="B78" s="296" t="s">
        <v>970</v>
      </c>
      <c r="C78" s="296"/>
      <c r="D78" s="296"/>
    </row>
    <row r="79" spans="1:5" ht="100.8">
      <c r="A79" s="257"/>
      <c r="B79" s="248" t="s">
        <v>623</v>
      </c>
      <c r="C79" s="254" t="s">
        <v>971</v>
      </c>
      <c r="D79" s="263">
        <v>1077.8</v>
      </c>
      <c r="E79" s="250"/>
    </row>
    <row r="80" spans="1:5" ht="117.6">
      <c r="A80" s="257"/>
      <c r="B80" s="248" t="s">
        <v>625</v>
      </c>
      <c r="C80" s="254" t="s">
        <v>972</v>
      </c>
      <c r="D80" s="263">
        <v>24.3</v>
      </c>
      <c r="E80" s="250"/>
    </row>
    <row r="81" spans="1:5" ht="100.8">
      <c r="A81" s="257"/>
      <c r="B81" s="248" t="s">
        <v>627</v>
      </c>
      <c r="C81" s="254" t="s">
        <v>973</v>
      </c>
      <c r="D81" s="263">
        <v>1846.4</v>
      </c>
      <c r="E81" s="250"/>
    </row>
    <row r="82" spans="1:5" ht="100.8">
      <c r="A82" s="257"/>
      <c r="B82" s="248" t="s">
        <v>629</v>
      </c>
      <c r="C82" s="254" t="s">
        <v>974</v>
      </c>
      <c r="D82" s="263">
        <v>-92.8</v>
      </c>
      <c r="E82" s="250"/>
    </row>
    <row r="83" spans="1:4" s="244" customFormat="1" ht="12.75">
      <c r="A83" s="256" t="s">
        <v>975</v>
      </c>
      <c r="B83" s="296" t="s">
        <v>976</v>
      </c>
      <c r="C83" s="296"/>
      <c r="D83" s="296"/>
    </row>
    <row r="84" spans="1:5" ht="69.6" customHeight="1">
      <c r="A84" s="258"/>
      <c r="B84" s="248" t="s">
        <v>775</v>
      </c>
      <c r="C84" s="254" t="s">
        <v>977</v>
      </c>
      <c r="D84" s="263">
        <v>2302.3</v>
      </c>
      <c r="E84" s="250"/>
    </row>
    <row r="85" spans="1:4" s="244" customFormat="1" ht="12.75">
      <c r="A85" s="256" t="s">
        <v>978</v>
      </c>
      <c r="B85" s="296" t="s">
        <v>979</v>
      </c>
      <c r="C85" s="296"/>
      <c r="D85" s="296"/>
    </row>
    <row r="86" spans="1:5" ht="50.4">
      <c r="A86" s="258"/>
      <c r="B86" s="248" t="s">
        <v>793</v>
      </c>
      <c r="C86" s="254" t="s">
        <v>980</v>
      </c>
      <c r="D86" s="263">
        <v>1</v>
      </c>
      <c r="E86" s="250"/>
    </row>
    <row r="87" spans="1:4" s="244" customFormat="1" ht="12.75">
      <c r="A87" s="243" t="s">
        <v>981</v>
      </c>
      <c r="B87" s="298" t="s">
        <v>982</v>
      </c>
      <c r="C87" s="298"/>
      <c r="D87" s="298"/>
    </row>
    <row r="88" spans="1:4" s="244" customFormat="1" ht="84">
      <c r="A88" s="245"/>
      <c r="B88" s="264" t="s">
        <v>785</v>
      </c>
      <c r="C88" s="254" t="s">
        <v>983</v>
      </c>
      <c r="D88" s="263">
        <v>4</v>
      </c>
    </row>
    <row r="89" spans="1:4" s="244" customFormat="1" ht="12.75">
      <c r="A89" s="243" t="s">
        <v>984</v>
      </c>
      <c r="B89" s="296" t="s">
        <v>985</v>
      </c>
      <c r="C89" s="296"/>
      <c r="D89" s="296"/>
    </row>
    <row r="90" spans="1:4" ht="89.4" customHeight="1">
      <c r="A90" s="257"/>
      <c r="B90" s="264" t="s">
        <v>613</v>
      </c>
      <c r="C90" s="254" t="s">
        <v>986</v>
      </c>
      <c r="D90" s="263">
        <v>132282.6</v>
      </c>
    </row>
    <row r="91" spans="1:4" ht="141" customHeight="1">
      <c r="A91" s="257"/>
      <c r="B91" s="264" t="s">
        <v>615</v>
      </c>
      <c r="C91" s="254" t="s">
        <v>987</v>
      </c>
      <c r="D91" s="263">
        <v>383.9</v>
      </c>
    </row>
    <row r="92" spans="1:4" ht="58.2" customHeight="1">
      <c r="A92" s="257"/>
      <c r="B92" s="264" t="s">
        <v>617</v>
      </c>
      <c r="C92" s="254" t="s">
        <v>988</v>
      </c>
      <c r="D92" s="263">
        <v>2415.5</v>
      </c>
    </row>
    <row r="93" spans="1:4" ht="33.6">
      <c r="A93" s="257"/>
      <c r="B93" s="264" t="s">
        <v>633</v>
      </c>
      <c r="C93" s="254" t="s">
        <v>989</v>
      </c>
      <c r="D93" s="263">
        <v>33834.6</v>
      </c>
    </row>
    <row r="94" spans="1:4" ht="50.4">
      <c r="A94" s="253"/>
      <c r="B94" s="264" t="s">
        <v>636</v>
      </c>
      <c r="C94" s="254" t="s">
        <v>990</v>
      </c>
      <c r="D94" s="263">
        <v>-8.5</v>
      </c>
    </row>
    <row r="95" spans="1:4" ht="12.75">
      <c r="A95" s="253"/>
      <c r="B95" s="264" t="s">
        <v>638</v>
      </c>
      <c r="C95" s="254" t="s">
        <v>991</v>
      </c>
      <c r="D95" s="263">
        <v>8.4</v>
      </c>
    </row>
    <row r="96" spans="1:4" ht="50.4">
      <c r="A96" s="253"/>
      <c r="B96" s="264" t="s">
        <v>643</v>
      </c>
      <c r="C96" s="254" t="s">
        <v>992</v>
      </c>
      <c r="D96" s="263">
        <v>2588.2</v>
      </c>
    </row>
    <row r="97" spans="1:4" ht="58.2" customHeight="1">
      <c r="A97" s="253"/>
      <c r="B97" s="246" t="s">
        <v>649</v>
      </c>
      <c r="C97" s="254" t="s">
        <v>993</v>
      </c>
      <c r="D97" s="263">
        <v>5292.4</v>
      </c>
    </row>
    <row r="98" spans="1:4" ht="91.8" customHeight="1">
      <c r="A98" s="253"/>
      <c r="B98" s="246" t="s">
        <v>655</v>
      </c>
      <c r="C98" s="254" t="s">
        <v>994</v>
      </c>
      <c r="D98" s="263">
        <v>9298.3</v>
      </c>
    </row>
    <row r="99" spans="1:4" ht="90" customHeight="1">
      <c r="A99" s="253"/>
      <c r="B99" s="246" t="s">
        <v>659</v>
      </c>
      <c r="C99" s="254" t="s">
        <v>995</v>
      </c>
      <c r="D99" s="263">
        <v>64394.5</v>
      </c>
    </row>
    <row r="100" spans="1:4" ht="59.4" customHeight="1">
      <c r="A100" s="253"/>
      <c r="B100" s="264" t="s">
        <v>665</v>
      </c>
      <c r="C100" s="254" t="s">
        <v>996</v>
      </c>
      <c r="D100" s="263">
        <v>3706.4</v>
      </c>
    </row>
    <row r="101" spans="1:4" ht="50.4">
      <c r="A101" s="253"/>
      <c r="B101" s="248" t="s">
        <v>677</v>
      </c>
      <c r="C101" s="254" t="s">
        <v>997</v>
      </c>
      <c r="D101" s="263">
        <v>34.2</v>
      </c>
    </row>
    <row r="102" spans="1:4" ht="84">
      <c r="A102" s="253"/>
      <c r="B102" s="248" t="s">
        <v>683</v>
      </c>
      <c r="C102" s="254" t="s">
        <v>998</v>
      </c>
      <c r="D102" s="263">
        <v>0.2</v>
      </c>
    </row>
    <row r="103" spans="1:4" ht="85.8" customHeight="1">
      <c r="A103" s="253"/>
      <c r="B103" s="246" t="s">
        <v>761</v>
      </c>
      <c r="C103" s="254" t="s">
        <v>999</v>
      </c>
      <c r="D103" s="263">
        <v>61</v>
      </c>
    </row>
    <row r="104" spans="1:4" ht="76.2" customHeight="1">
      <c r="A104" s="253"/>
      <c r="B104" s="264" t="s">
        <v>763</v>
      </c>
      <c r="C104" s="254" t="s">
        <v>1000</v>
      </c>
      <c r="D104" s="263">
        <v>11.2</v>
      </c>
    </row>
    <row r="105" spans="1:4" ht="84">
      <c r="A105" s="253"/>
      <c r="B105" s="264" t="s">
        <v>765</v>
      </c>
      <c r="C105" s="254" t="s">
        <v>1001</v>
      </c>
      <c r="D105" s="263">
        <v>119.1</v>
      </c>
    </row>
    <row r="106" spans="1:4" ht="50.4">
      <c r="A106" s="253"/>
      <c r="B106" s="248" t="s">
        <v>793</v>
      </c>
      <c r="C106" s="254" t="s">
        <v>1002</v>
      </c>
      <c r="D106" s="263">
        <v>0.5</v>
      </c>
    </row>
    <row r="107" spans="1:4" s="244" customFormat="1" ht="12.75">
      <c r="A107" s="256" t="s">
        <v>1003</v>
      </c>
      <c r="B107" s="296" t="s">
        <v>1004</v>
      </c>
      <c r="C107" s="296"/>
      <c r="D107" s="296"/>
    </row>
    <row r="108" spans="1:4" ht="76.8" customHeight="1">
      <c r="A108" s="253"/>
      <c r="B108" s="264" t="s">
        <v>769</v>
      </c>
      <c r="C108" s="254" t="s">
        <v>1005</v>
      </c>
      <c r="D108" s="263">
        <v>20</v>
      </c>
    </row>
    <row r="109" spans="1:4" ht="84">
      <c r="A109" s="253"/>
      <c r="B109" s="264" t="s">
        <v>785</v>
      </c>
      <c r="C109" s="254" t="s">
        <v>1006</v>
      </c>
      <c r="D109" s="263">
        <v>3.5</v>
      </c>
    </row>
    <row r="110" spans="1:5" ht="50.4">
      <c r="A110" s="253"/>
      <c r="B110" s="264" t="s">
        <v>793</v>
      </c>
      <c r="C110" s="254" t="s">
        <v>1007</v>
      </c>
      <c r="D110" s="263">
        <v>1765.6</v>
      </c>
      <c r="E110" s="250"/>
    </row>
    <row r="111" spans="1:4" s="244" customFormat="1" ht="12.75">
      <c r="A111" s="256" t="s">
        <v>1008</v>
      </c>
      <c r="B111" s="296" t="s">
        <v>1009</v>
      </c>
      <c r="C111" s="296"/>
      <c r="D111" s="296"/>
    </row>
    <row r="112" spans="1:5" ht="50.4">
      <c r="A112" s="253"/>
      <c r="B112" s="264" t="s">
        <v>793</v>
      </c>
      <c r="C112" s="254" t="s">
        <v>1010</v>
      </c>
      <c r="D112" s="263">
        <v>124.5</v>
      </c>
      <c r="E112" s="250"/>
    </row>
    <row r="113" spans="1:4" s="244" customFormat="1" ht="12.75">
      <c r="A113" s="256" t="s">
        <v>1011</v>
      </c>
      <c r="B113" s="297" t="s">
        <v>1012</v>
      </c>
      <c r="C113" s="297"/>
      <c r="D113" s="297"/>
    </row>
    <row r="114" spans="1:5" ht="50.4">
      <c r="A114" s="257"/>
      <c r="B114" s="264" t="s">
        <v>793</v>
      </c>
      <c r="C114" s="254" t="s">
        <v>1013</v>
      </c>
      <c r="D114" s="263">
        <v>28.7</v>
      </c>
      <c r="E114" s="250"/>
    </row>
    <row r="115" spans="1:4" s="244" customFormat="1" ht="12.75">
      <c r="A115" s="256" t="s">
        <v>1014</v>
      </c>
      <c r="B115" s="296" t="s">
        <v>1015</v>
      </c>
      <c r="C115" s="296"/>
      <c r="D115" s="296"/>
    </row>
    <row r="116" spans="1:5" ht="33.6">
      <c r="A116" s="253"/>
      <c r="B116" s="264" t="s">
        <v>773</v>
      </c>
      <c r="C116" s="254" t="s">
        <v>1016</v>
      </c>
      <c r="D116" s="263">
        <v>52.3</v>
      </c>
      <c r="E116" s="250"/>
    </row>
    <row r="117" ht="12.75">
      <c r="E117" s="250"/>
    </row>
  </sheetData>
  <mergeCells count="25">
    <mergeCell ref="B1:D1"/>
    <mergeCell ref="B2:D2"/>
    <mergeCell ref="B3:D3"/>
    <mergeCell ref="A5:D5"/>
    <mergeCell ref="A7:A8"/>
    <mergeCell ref="B7:B8"/>
    <mergeCell ref="C7:C8"/>
    <mergeCell ref="D7:D8"/>
    <mergeCell ref="B87:D87"/>
    <mergeCell ref="B9:D9"/>
    <mergeCell ref="B32:D32"/>
    <mergeCell ref="B35:D35"/>
    <mergeCell ref="B45:D45"/>
    <mergeCell ref="B51:D51"/>
    <mergeCell ref="B68:D68"/>
    <mergeCell ref="B71:D71"/>
    <mergeCell ref="B76:D76"/>
    <mergeCell ref="B78:D78"/>
    <mergeCell ref="B83:D83"/>
    <mergeCell ref="B85:D85"/>
    <mergeCell ref="B89:D89"/>
    <mergeCell ref="B107:D107"/>
    <mergeCell ref="B111:D111"/>
    <mergeCell ref="B113:D113"/>
    <mergeCell ref="B115:D115"/>
  </mergeCells>
  <printOptions/>
  <pageMargins left="0.5905511811023623" right="0.1968503937007874" top="0.1968503937007874" bottom="0.1968503937007874" header="0.11811023622047245" footer="0.11811023622047245"/>
  <pageSetup fitToHeight="0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7"/>
  <sheetViews>
    <sheetView view="pageBreakPreview" zoomScaleSheetLayoutView="100" workbookViewId="0" topLeftCell="A1">
      <selection activeCell="C9" sqref="C9"/>
    </sheetView>
  </sheetViews>
  <sheetFormatPr defaultColWidth="9.125" defaultRowHeight="12.75"/>
  <cols>
    <col min="1" max="1" width="79.50390625" style="271" customWidth="1"/>
    <col min="2" max="2" width="23.875" style="261" customWidth="1"/>
    <col min="3" max="3" width="15.625" style="267" customWidth="1"/>
    <col min="4" max="4" width="11.50390625" style="261" bestFit="1" customWidth="1"/>
    <col min="5" max="5" width="10.375" style="261" bestFit="1" customWidth="1"/>
    <col min="6" max="16384" width="9.125" style="261" customWidth="1"/>
  </cols>
  <sheetData>
    <row r="1" spans="2:3" ht="12.75">
      <c r="B1" s="309" t="s">
        <v>1120</v>
      </c>
      <c r="C1" s="309"/>
    </row>
    <row r="2" spans="2:3" ht="12.75">
      <c r="B2" s="309" t="s">
        <v>901</v>
      </c>
      <c r="C2" s="309"/>
    </row>
    <row r="3" spans="2:3" ht="12.75">
      <c r="B3" s="309" t="s">
        <v>1135</v>
      </c>
      <c r="C3" s="309"/>
    </row>
    <row r="5" spans="1:3" ht="55.8" customHeight="1">
      <c r="A5" s="310" t="s">
        <v>1017</v>
      </c>
      <c r="B5" s="310"/>
      <c r="C5" s="310"/>
    </row>
    <row r="6" spans="1:3" ht="12.75">
      <c r="A6" s="262"/>
      <c r="B6" s="262"/>
      <c r="C6" s="262"/>
    </row>
    <row r="7" spans="1:3" ht="12.75">
      <c r="A7" s="311" t="s">
        <v>604</v>
      </c>
      <c r="B7" s="311" t="s">
        <v>1018</v>
      </c>
      <c r="C7" s="312" t="s">
        <v>905</v>
      </c>
    </row>
    <row r="8" spans="1:3" ht="12.75">
      <c r="A8" s="311"/>
      <c r="B8" s="311"/>
      <c r="C8" s="312"/>
    </row>
    <row r="9" spans="1:3" ht="12.75">
      <c r="A9" s="307" t="s">
        <v>613</v>
      </c>
      <c r="B9" s="257" t="s">
        <v>1019</v>
      </c>
      <c r="C9" s="263">
        <v>131744.5</v>
      </c>
    </row>
    <row r="10" spans="1:3" ht="12.75">
      <c r="A10" s="307"/>
      <c r="B10" s="257" t="s">
        <v>1020</v>
      </c>
      <c r="C10" s="263">
        <v>154.7</v>
      </c>
    </row>
    <row r="11" spans="1:3" ht="17.4" customHeight="1">
      <c r="A11" s="307"/>
      <c r="B11" s="257" t="s">
        <v>1021</v>
      </c>
      <c r="C11" s="263">
        <v>384.1</v>
      </c>
    </row>
    <row r="12" spans="1:3" ht="19.2" customHeight="1">
      <c r="A12" s="307"/>
      <c r="B12" s="257" t="s">
        <v>1022</v>
      </c>
      <c r="C12" s="263">
        <v>-0.7</v>
      </c>
    </row>
    <row r="13" spans="1:3" ht="33.6" customHeight="1">
      <c r="A13" s="307" t="s">
        <v>615</v>
      </c>
      <c r="B13" s="257" t="s">
        <v>1023</v>
      </c>
      <c r="C13" s="263">
        <v>374</v>
      </c>
    </row>
    <row r="14" spans="1:3" ht="30.6" customHeight="1">
      <c r="A14" s="307"/>
      <c r="B14" s="257" t="s">
        <v>1024</v>
      </c>
      <c r="C14" s="263">
        <v>9.6</v>
      </c>
    </row>
    <row r="15" spans="1:3" ht="43.2" customHeight="1">
      <c r="A15" s="307"/>
      <c r="B15" s="257" t="s">
        <v>1025</v>
      </c>
      <c r="C15" s="263">
        <v>0.3</v>
      </c>
    </row>
    <row r="16" spans="1:3" ht="12.75">
      <c r="A16" s="307" t="s">
        <v>617</v>
      </c>
      <c r="B16" s="257" t="s">
        <v>1026</v>
      </c>
      <c r="C16" s="263">
        <v>2361.4</v>
      </c>
    </row>
    <row r="17" spans="1:3" ht="12.75">
      <c r="A17" s="307"/>
      <c r="B17" s="257" t="s">
        <v>1027</v>
      </c>
      <c r="C17" s="263">
        <v>10.3</v>
      </c>
    </row>
    <row r="18" spans="1:3" ht="12.75">
      <c r="A18" s="307"/>
      <c r="B18" s="257" t="s">
        <v>1028</v>
      </c>
      <c r="C18" s="263">
        <v>18.8</v>
      </c>
    </row>
    <row r="19" spans="1:3" ht="12.75">
      <c r="A19" s="307"/>
      <c r="B19" s="257" t="s">
        <v>1029</v>
      </c>
      <c r="C19" s="263">
        <v>25</v>
      </c>
    </row>
    <row r="20" spans="1:3" ht="75" customHeight="1">
      <c r="A20" s="246" t="s">
        <v>623</v>
      </c>
      <c r="B20" s="257" t="s">
        <v>1030</v>
      </c>
      <c r="C20" s="263">
        <v>1077.8</v>
      </c>
    </row>
    <row r="21" spans="1:3" ht="89.4" customHeight="1">
      <c r="A21" s="246" t="s">
        <v>625</v>
      </c>
      <c r="B21" s="257" t="s">
        <v>1031</v>
      </c>
      <c r="C21" s="263">
        <v>24.3</v>
      </c>
    </row>
    <row r="22" spans="1:3" ht="70.2" customHeight="1">
      <c r="A22" s="246" t="s">
        <v>627</v>
      </c>
      <c r="B22" s="257" t="s">
        <v>1032</v>
      </c>
      <c r="C22" s="263">
        <v>1846.4</v>
      </c>
    </row>
    <row r="23" spans="1:3" ht="67.2">
      <c r="A23" s="246" t="s">
        <v>629</v>
      </c>
      <c r="B23" s="257" t="s">
        <v>1033</v>
      </c>
      <c r="C23" s="263">
        <v>-92.8</v>
      </c>
    </row>
    <row r="24" spans="1:3" ht="12.75">
      <c r="A24" s="307" t="s">
        <v>633</v>
      </c>
      <c r="B24" s="257" t="s">
        <v>1034</v>
      </c>
      <c r="C24" s="263">
        <v>33689.5</v>
      </c>
    </row>
    <row r="25" spans="1:3" ht="12.75">
      <c r="A25" s="307"/>
      <c r="B25" s="257" t="s">
        <v>1035</v>
      </c>
      <c r="C25" s="263">
        <v>70.2</v>
      </c>
    </row>
    <row r="26" spans="1:3" ht="12.75">
      <c r="A26" s="307"/>
      <c r="B26" s="257" t="s">
        <v>1036</v>
      </c>
      <c r="C26" s="263">
        <v>74.9</v>
      </c>
    </row>
    <row r="27" spans="1:3" ht="12.75">
      <c r="A27" s="307" t="s">
        <v>636</v>
      </c>
      <c r="B27" s="257" t="s">
        <v>1037</v>
      </c>
      <c r="C27" s="263">
        <v>-40.4</v>
      </c>
    </row>
    <row r="28" spans="1:3" ht="12.75">
      <c r="A28" s="307"/>
      <c r="B28" s="257" t="s">
        <v>1038</v>
      </c>
      <c r="C28" s="263">
        <v>27.5</v>
      </c>
    </row>
    <row r="29" spans="1:3" ht="12.75">
      <c r="A29" s="307"/>
      <c r="B29" s="257" t="s">
        <v>1039</v>
      </c>
      <c r="C29" s="263">
        <v>4.4</v>
      </c>
    </row>
    <row r="30" spans="1:3" ht="12.75">
      <c r="A30" s="307" t="s">
        <v>638</v>
      </c>
      <c r="B30" s="257" t="s">
        <v>1040</v>
      </c>
      <c r="C30" s="263">
        <v>8.3</v>
      </c>
    </row>
    <row r="31" spans="1:3" ht="12.75">
      <c r="A31" s="307"/>
      <c r="B31" s="257" t="s">
        <v>1041</v>
      </c>
      <c r="C31" s="263">
        <v>0.1</v>
      </c>
    </row>
    <row r="32" spans="1:3" ht="35.4" customHeight="1">
      <c r="A32" s="264" t="s">
        <v>643</v>
      </c>
      <c r="B32" s="257" t="s">
        <v>1042</v>
      </c>
      <c r="C32" s="263">
        <v>2588.2</v>
      </c>
    </row>
    <row r="33" spans="1:3" ht="12.75">
      <c r="A33" s="307" t="s">
        <v>649</v>
      </c>
      <c r="B33" s="257" t="s">
        <v>1043</v>
      </c>
      <c r="C33" s="263">
        <v>5263.2</v>
      </c>
    </row>
    <row r="34" spans="1:3" ht="12.75">
      <c r="A34" s="307"/>
      <c r="B34" s="257" t="s">
        <v>1044</v>
      </c>
      <c r="C34" s="263">
        <v>29.2</v>
      </c>
    </row>
    <row r="35" spans="1:3" ht="22.2" customHeight="1">
      <c r="A35" s="307" t="s">
        <v>655</v>
      </c>
      <c r="B35" s="257" t="s">
        <v>1045</v>
      </c>
      <c r="C35" s="263">
        <v>9247.7</v>
      </c>
    </row>
    <row r="36" spans="1:3" ht="25.2" customHeight="1">
      <c r="A36" s="307"/>
      <c r="B36" s="257" t="s">
        <v>1046</v>
      </c>
      <c r="C36" s="263">
        <v>44.1</v>
      </c>
    </row>
    <row r="37" spans="1:3" ht="22.8" customHeight="1">
      <c r="A37" s="307"/>
      <c r="B37" s="257" t="s">
        <v>1047</v>
      </c>
      <c r="C37" s="263">
        <v>6.5</v>
      </c>
    </row>
    <row r="38" spans="1:3" ht="22.2" customHeight="1">
      <c r="A38" s="307" t="s">
        <v>659</v>
      </c>
      <c r="B38" s="257" t="s">
        <v>1048</v>
      </c>
      <c r="C38" s="263">
        <v>63899</v>
      </c>
    </row>
    <row r="39" spans="1:3" ht="23.4" customHeight="1">
      <c r="A39" s="307"/>
      <c r="B39" s="257" t="s">
        <v>1049</v>
      </c>
      <c r="C39" s="263">
        <v>450.4</v>
      </c>
    </row>
    <row r="40" spans="1:3" ht="28.8" customHeight="1">
      <c r="A40" s="307"/>
      <c r="B40" s="257" t="s">
        <v>1050</v>
      </c>
      <c r="C40" s="263">
        <v>45.1</v>
      </c>
    </row>
    <row r="41" spans="1:3" ht="50.4">
      <c r="A41" s="264" t="s">
        <v>665</v>
      </c>
      <c r="B41" s="257" t="s">
        <v>1051</v>
      </c>
      <c r="C41" s="263">
        <v>3706.4</v>
      </c>
    </row>
    <row r="42" spans="1:3" ht="33.6">
      <c r="A42" s="246" t="s">
        <v>669</v>
      </c>
      <c r="B42" s="257" t="s">
        <v>1052</v>
      </c>
      <c r="C42" s="263">
        <v>6</v>
      </c>
    </row>
    <row r="43" spans="1:3" ht="12.75">
      <c r="A43" s="307" t="s">
        <v>677</v>
      </c>
      <c r="B43" s="257" t="s">
        <v>1053</v>
      </c>
      <c r="C43" s="263">
        <v>20.9</v>
      </c>
    </row>
    <row r="44" spans="1:3" ht="12.75">
      <c r="A44" s="307"/>
      <c r="B44" s="257" t="s">
        <v>1054</v>
      </c>
      <c r="C44" s="263">
        <v>13.3</v>
      </c>
    </row>
    <row r="45" spans="1:3" ht="67.2">
      <c r="A45" s="264" t="s">
        <v>683</v>
      </c>
      <c r="B45" s="257" t="s">
        <v>1055</v>
      </c>
      <c r="C45" s="263">
        <v>0.2</v>
      </c>
    </row>
    <row r="46" spans="1:3" ht="84">
      <c r="A46" s="264" t="s">
        <v>691</v>
      </c>
      <c r="B46" s="257" t="s">
        <v>1056</v>
      </c>
      <c r="C46" s="263">
        <v>19772.3</v>
      </c>
    </row>
    <row r="47" spans="1:3" ht="70.8" customHeight="1">
      <c r="A47" s="265" t="s">
        <v>695</v>
      </c>
      <c r="B47" s="257" t="s">
        <v>1057</v>
      </c>
      <c r="C47" s="263">
        <v>1169.2</v>
      </c>
    </row>
    <row r="48" spans="1:3" ht="35.4" customHeight="1">
      <c r="A48" s="265" t="s">
        <v>699</v>
      </c>
      <c r="B48" s="257" t="s">
        <v>1058</v>
      </c>
      <c r="C48" s="263">
        <v>17034</v>
      </c>
    </row>
    <row r="49" spans="1:3" ht="53.4" customHeight="1">
      <c r="A49" s="246" t="s">
        <v>705</v>
      </c>
      <c r="B49" s="257" t="s">
        <v>1059</v>
      </c>
      <c r="C49" s="263">
        <v>95.1</v>
      </c>
    </row>
    <row r="50" spans="1:3" ht="69" customHeight="1">
      <c r="A50" s="264" t="s">
        <v>711</v>
      </c>
      <c r="B50" s="257" t="s">
        <v>1060</v>
      </c>
      <c r="C50" s="263">
        <v>16.2</v>
      </c>
    </row>
    <row r="51" spans="1:3" ht="33.6">
      <c r="A51" s="264" t="s">
        <v>717</v>
      </c>
      <c r="B51" s="257" t="s">
        <v>1061</v>
      </c>
      <c r="C51" s="263">
        <v>213.4</v>
      </c>
    </row>
    <row r="52" spans="1:3" ht="33.6">
      <c r="A52" s="264" t="s">
        <v>719</v>
      </c>
      <c r="B52" s="257" t="s">
        <v>1062</v>
      </c>
      <c r="C52" s="263">
        <v>35</v>
      </c>
    </row>
    <row r="53" spans="1:3" ht="12.75">
      <c r="A53" s="264" t="s">
        <v>721</v>
      </c>
      <c r="B53" s="257" t="s">
        <v>1063</v>
      </c>
      <c r="C53" s="263">
        <v>858.1</v>
      </c>
    </row>
    <row r="54" spans="1:3" ht="12.75">
      <c r="A54" s="264" t="s">
        <v>723</v>
      </c>
      <c r="B54" s="257" t="s">
        <v>1064</v>
      </c>
      <c r="C54" s="263">
        <v>211.6</v>
      </c>
    </row>
    <row r="55" spans="1:3" ht="33.6">
      <c r="A55" s="246" t="s">
        <v>731</v>
      </c>
      <c r="B55" s="257" t="s">
        <v>1065</v>
      </c>
      <c r="C55" s="263">
        <v>1062.5</v>
      </c>
    </row>
    <row r="56" spans="1:3" ht="12.75">
      <c r="A56" s="264" t="s">
        <v>737</v>
      </c>
      <c r="B56" s="257" t="s">
        <v>1066</v>
      </c>
      <c r="C56" s="263">
        <v>113.9</v>
      </c>
    </row>
    <row r="57" spans="1:3" ht="84">
      <c r="A57" s="264" t="s">
        <v>745</v>
      </c>
      <c r="B57" s="257" t="s">
        <v>1067</v>
      </c>
      <c r="C57" s="263">
        <v>20647</v>
      </c>
    </row>
    <row r="58" spans="1:3" ht="50.4">
      <c r="A58" s="264" t="s">
        <v>751</v>
      </c>
      <c r="B58" s="257" t="s">
        <v>1068</v>
      </c>
      <c r="C58" s="263">
        <v>2797.1</v>
      </c>
    </row>
    <row r="59" spans="1:3" ht="53.4" customHeight="1">
      <c r="A59" s="264" t="s">
        <v>755</v>
      </c>
      <c r="B59" s="257" t="s">
        <v>1069</v>
      </c>
      <c r="C59" s="263">
        <v>1600</v>
      </c>
    </row>
    <row r="60" spans="1:3" ht="70.2" customHeight="1">
      <c r="A60" s="246" t="s">
        <v>761</v>
      </c>
      <c r="B60" s="257" t="s">
        <v>1070</v>
      </c>
      <c r="C60" s="263">
        <v>61</v>
      </c>
    </row>
    <row r="61" spans="1:3" ht="55.2" customHeight="1">
      <c r="A61" s="264" t="s">
        <v>763</v>
      </c>
      <c r="B61" s="257" t="s">
        <v>1071</v>
      </c>
      <c r="C61" s="263">
        <v>11.2</v>
      </c>
    </row>
    <row r="62" spans="1:3" ht="67.2">
      <c r="A62" s="264" t="s">
        <v>765</v>
      </c>
      <c r="B62" s="257" t="s">
        <v>1072</v>
      </c>
      <c r="C62" s="263">
        <v>119.1</v>
      </c>
    </row>
    <row r="63" spans="1:3" ht="55.2" customHeight="1">
      <c r="A63" s="264" t="s">
        <v>769</v>
      </c>
      <c r="B63" s="257" t="s">
        <v>1073</v>
      </c>
      <c r="C63" s="263">
        <v>20</v>
      </c>
    </row>
    <row r="64" spans="1:3" ht="33.6">
      <c r="A64" s="264" t="s">
        <v>773</v>
      </c>
      <c r="B64" s="257" t="s">
        <v>1074</v>
      </c>
      <c r="C64" s="263">
        <v>52.3</v>
      </c>
    </row>
    <row r="65" spans="1:3" ht="55.8" customHeight="1">
      <c r="A65" s="264" t="s">
        <v>775</v>
      </c>
      <c r="B65" s="257" t="s">
        <v>1075</v>
      </c>
      <c r="C65" s="263">
        <v>2302.3</v>
      </c>
    </row>
    <row r="66" spans="1:3" ht="50.4">
      <c r="A66" s="246" t="s">
        <v>779</v>
      </c>
      <c r="B66" s="257" t="s">
        <v>1076</v>
      </c>
      <c r="C66" s="263">
        <v>2271.7</v>
      </c>
    </row>
    <row r="67" spans="1:3" ht="70.2" customHeight="1">
      <c r="A67" s="264" t="s">
        <v>783</v>
      </c>
      <c r="B67" s="257" t="s">
        <v>1077</v>
      </c>
      <c r="C67" s="263">
        <v>211.1</v>
      </c>
    </row>
    <row r="68" spans="1:3" ht="69" customHeight="1">
      <c r="A68" s="264" t="s">
        <v>785</v>
      </c>
      <c r="B68" s="257" t="s">
        <v>1078</v>
      </c>
      <c r="C68" s="263">
        <v>7.5</v>
      </c>
    </row>
    <row r="69" spans="1:3" ht="50.4">
      <c r="A69" s="264" t="s">
        <v>789</v>
      </c>
      <c r="B69" s="257" t="s">
        <v>1079</v>
      </c>
      <c r="C69" s="263">
        <v>17</v>
      </c>
    </row>
    <row r="70" spans="1:3" ht="33.6">
      <c r="A70" s="264" t="s">
        <v>793</v>
      </c>
      <c r="B70" s="257" t="s">
        <v>1080</v>
      </c>
      <c r="C70" s="263">
        <v>2086.1</v>
      </c>
    </row>
    <row r="71" spans="1:3" ht="33.6">
      <c r="A71" s="264" t="s">
        <v>803</v>
      </c>
      <c r="B71" s="257" t="s">
        <v>1081</v>
      </c>
      <c r="C71" s="263">
        <v>363.7</v>
      </c>
    </row>
    <row r="72" spans="1:3" ht="33.6">
      <c r="A72" s="264" t="s">
        <v>809</v>
      </c>
      <c r="B72" s="257" t="s">
        <v>1082</v>
      </c>
      <c r="C72" s="263">
        <v>141.9</v>
      </c>
    </row>
    <row r="73" spans="1:3" ht="33.6">
      <c r="A73" s="264" t="s">
        <v>813</v>
      </c>
      <c r="B73" s="257" t="s">
        <v>1083</v>
      </c>
      <c r="C73" s="263">
        <f>448.3+1067.4</f>
        <v>1515.7</v>
      </c>
    </row>
    <row r="74" spans="1:3" ht="33.6">
      <c r="A74" s="264" t="s">
        <v>817</v>
      </c>
      <c r="B74" s="257" t="s">
        <v>1084</v>
      </c>
      <c r="C74" s="263">
        <v>595.6</v>
      </c>
    </row>
    <row r="75" spans="1:3" ht="87.6" customHeight="1">
      <c r="A75" s="264" t="s">
        <v>823</v>
      </c>
      <c r="B75" s="257" t="s">
        <v>1085</v>
      </c>
      <c r="C75" s="263">
        <v>495.1</v>
      </c>
    </row>
    <row r="76" spans="1:3" ht="67.2">
      <c r="A76" s="264" t="s">
        <v>829</v>
      </c>
      <c r="B76" s="257" t="s">
        <v>1086</v>
      </c>
      <c r="C76" s="263">
        <v>579.4</v>
      </c>
    </row>
    <row r="77" spans="1:3" ht="33.6">
      <c r="A77" s="264" t="s">
        <v>833</v>
      </c>
      <c r="B77" s="257" t="s">
        <v>1087</v>
      </c>
      <c r="C77" s="263">
        <v>194.5</v>
      </c>
    </row>
    <row r="78" spans="1:3" ht="33.6">
      <c r="A78" s="264" t="s">
        <v>1088</v>
      </c>
      <c r="B78" s="257" t="s">
        <v>1089</v>
      </c>
      <c r="C78" s="263">
        <v>11774.2</v>
      </c>
    </row>
    <row r="79" spans="1:3" ht="50.4">
      <c r="A79" s="264" t="s">
        <v>1090</v>
      </c>
      <c r="B79" s="257" t="s">
        <v>1091</v>
      </c>
      <c r="C79" s="263">
        <v>8705</v>
      </c>
    </row>
    <row r="80" spans="1:3" ht="33.6">
      <c r="A80" s="264" t="s">
        <v>845</v>
      </c>
      <c r="B80" s="257" t="s">
        <v>1092</v>
      </c>
      <c r="C80" s="263">
        <v>742.3</v>
      </c>
    </row>
    <row r="81" spans="1:3" ht="33.6">
      <c r="A81" s="264" t="s">
        <v>841</v>
      </c>
      <c r="B81" s="257" t="s">
        <v>1093</v>
      </c>
      <c r="C81" s="263">
        <v>4234</v>
      </c>
    </row>
    <row r="82" spans="1:3" ht="51" customHeight="1">
      <c r="A82" s="264" t="s">
        <v>844</v>
      </c>
      <c r="B82" s="257" t="s">
        <v>1094</v>
      </c>
      <c r="C82" s="263">
        <v>4369.4</v>
      </c>
    </row>
    <row r="83" spans="1:3" ht="134.4">
      <c r="A83" s="248" t="s">
        <v>843</v>
      </c>
      <c r="B83" s="257" t="s">
        <v>1095</v>
      </c>
      <c r="C83" s="263">
        <v>196</v>
      </c>
    </row>
    <row r="84" spans="1:3" ht="12.75">
      <c r="A84" s="264" t="s">
        <v>460</v>
      </c>
      <c r="B84" s="257" t="s">
        <v>1096</v>
      </c>
      <c r="C84" s="263">
        <v>521.6</v>
      </c>
    </row>
    <row r="85" spans="1:3" ht="33.6">
      <c r="A85" s="248" t="s">
        <v>851</v>
      </c>
      <c r="B85" s="257" t="s">
        <v>1097</v>
      </c>
      <c r="C85" s="263">
        <v>250</v>
      </c>
    </row>
    <row r="86" spans="1:3" ht="33.6">
      <c r="A86" s="249" t="s">
        <v>466</v>
      </c>
      <c r="B86" s="257" t="s">
        <v>1098</v>
      </c>
      <c r="C86" s="263">
        <v>12216.6</v>
      </c>
    </row>
    <row r="87" spans="1:3" ht="12.75">
      <c r="A87" s="249" t="s">
        <v>842</v>
      </c>
      <c r="B87" s="257" t="s">
        <v>1099</v>
      </c>
      <c r="C87" s="263">
        <f>205.3+2685.5</f>
        <v>2890.8</v>
      </c>
    </row>
    <row r="88" spans="1:3" ht="53.4" customHeight="1">
      <c r="A88" s="264" t="s">
        <v>847</v>
      </c>
      <c r="B88" s="257" t="s">
        <v>1100</v>
      </c>
      <c r="C88" s="263">
        <v>167.1</v>
      </c>
    </row>
    <row r="89" spans="1:3" ht="12.75">
      <c r="A89" s="264" t="s">
        <v>846</v>
      </c>
      <c r="B89" s="257" t="s">
        <v>1101</v>
      </c>
      <c r="C89" s="263">
        <v>45.1</v>
      </c>
    </row>
    <row r="90" spans="1:3" ht="53.4" customHeight="1">
      <c r="A90" s="248" t="s">
        <v>849</v>
      </c>
      <c r="B90" s="257" t="s">
        <v>1102</v>
      </c>
      <c r="C90" s="263">
        <v>457.4</v>
      </c>
    </row>
    <row r="91" spans="1:3" ht="90" customHeight="1">
      <c r="A91" s="248" t="s">
        <v>850</v>
      </c>
      <c r="B91" s="257" t="s">
        <v>1103</v>
      </c>
      <c r="C91" s="263">
        <v>927.4</v>
      </c>
    </row>
    <row r="92" spans="1:3" ht="33.6">
      <c r="A92" s="264" t="s">
        <v>857</v>
      </c>
      <c r="B92" s="257" t="s">
        <v>1104</v>
      </c>
      <c r="C92" s="263">
        <v>1419.2</v>
      </c>
    </row>
    <row r="93" spans="1:3" ht="72" customHeight="1">
      <c r="A93" s="264" t="s">
        <v>861</v>
      </c>
      <c r="B93" s="257" t="s">
        <v>1105</v>
      </c>
      <c r="C93" s="263">
        <v>7754.1</v>
      </c>
    </row>
    <row r="94" spans="1:3" ht="69.6" customHeight="1">
      <c r="A94" s="264" t="s">
        <v>1106</v>
      </c>
      <c r="B94" s="257" t="s">
        <v>1107</v>
      </c>
      <c r="C94" s="263">
        <v>6421.5</v>
      </c>
    </row>
    <row r="95" spans="1:3" ht="54" customHeight="1">
      <c r="A95" s="249" t="s">
        <v>871</v>
      </c>
      <c r="B95" s="257" t="s">
        <v>1108</v>
      </c>
      <c r="C95" s="263">
        <v>623.4</v>
      </c>
    </row>
    <row r="96" spans="1:3" ht="100.8">
      <c r="A96" s="249" t="s">
        <v>869</v>
      </c>
      <c r="B96" s="257" t="s">
        <v>1109</v>
      </c>
      <c r="C96" s="263">
        <v>171988.9</v>
      </c>
    </row>
    <row r="97" spans="1:3" ht="69.6" customHeight="1">
      <c r="A97" s="249" t="s">
        <v>872</v>
      </c>
      <c r="B97" s="257" t="s">
        <v>1110</v>
      </c>
      <c r="C97" s="263">
        <v>253.3</v>
      </c>
    </row>
    <row r="98" spans="1:3" ht="50.4">
      <c r="A98" s="249" t="s">
        <v>870</v>
      </c>
      <c r="B98" s="257" t="s">
        <v>1111</v>
      </c>
      <c r="C98" s="263">
        <v>87902.7</v>
      </c>
    </row>
    <row r="99" spans="1:3" ht="53.4" customHeight="1">
      <c r="A99" s="249" t="s">
        <v>878</v>
      </c>
      <c r="B99" s="257" t="s">
        <v>1112</v>
      </c>
      <c r="C99" s="263">
        <v>254.5</v>
      </c>
    </row>
    <row r="100" spans="1:3" ht="67.2">
      <c r="A100" s="249" t="s">
        <v>922</v>
      </c>
      <c r="B100" s="257" t="s">
        <v>1113</v>
      </c>
      <c r="C100" s="263">
        <v>188.2</v>
      </c>
    </row>
    <row r="101" spans="1:3" ht="67.2">
      <c r="A101" s="249" t="s">
        <v>888</v>
      </c>
      <c r="B101" s="257" t="s">
        <v>1114</v>
      </c>
      <c r="C101" s="263">
        <v>400</v>
      </c>
    </row>
    <row r="102" spans="1:3" ht="12.75">
      <c r="A102" s="264" t="s">
        <v>890</v>
      </c>
      <c r="B102" s="257" t="s">
        <v>1115</v>
      </c>
      <c r="C102" s="263">
        <v>1800</v>
      </c>
    </row>
    <row r="103" spans="1:3" ht="33.6">
      <c r="A103" s="264" t="s">
        <v>896</v>
      </c>
      <c r="B103" s="257" t="s">
        <v>1116</v>
      </c>
      <c r="C103" s="263">
        <v>742.3</v>
      </c>
    </row>
    <row r="104" spans="1:3" ht="50.4">
      <c r="A104" s="264" t="s">
        <v>900</v>
      </c>
      <c r="B104" s="257" t="s">
        <v>1117</v>
      </c>
      <c r="C104" s="263">
        <v>-1817.1</v>
      </c>
    </row>
    <row r="105" spans="1:3" ht="12.75">
      <c r="A105" s="308" t="s">
        <v>41</v>
      </c>
      <c r="B105" s="308"/>
      <c r="C105" s="266">
        <f>SUM(C9:C104)</f>
        <v>659190.8999999999</v>
      </c>
    </row>
    <row r="106" ht="12.75">
      <c r="C106" s="261"/>
    </row>
    <row r="107" ht="12.75">
      <c r="C107" s="261"/>
    </row>
  </sheetData>
  <mergeCells count="18">
    <mergeCell ref="A30:A31"/>
    <mergeCell ref="B1:C1"/>
    <mergeCell ref="B2:C2"/>
    <mergeCell ref="B3:C3"/>
    <mergeCell ref="A5:C5"/>
    <mergeCell ref="A7:A8"/>
    <mergeCell ref="B7:B8"/>
    <mergeCell ref="C7:C8"/>
    <mergeCell ref="A9:A12"/>
    <mergeCell ref="A13:A15"/>
    <mergeCell ref="A16:A19"/>
    <mergeCell ref="A24:A26"/>
    <mergeCell ref="A27:A29"/>
    <mergeCell ref="A33:A34"/>
    <mergeCell ref="A35:A37"/>
    <mergeCell ref="A38:A40"/>
    <mergeCell ref="A43:A44"/>
    <mergeCell ref="A105:B105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view="pageBreakPreview" zoomScale="60" workbookViewId="0" topLeftCell="A1">
      <selection activeCell="C11" sqref="C11"/>
    </sheetView>
  </sheetViews>
  <sheetFormatPr defaultColWidth="9.125" defaultRowHeight="12.75"/>
  <cols>
    <col min="1" max="1" width="7.375" style="14" customWidth="1"/>
    <col min="2" max="2" width="72.625" style="1" customWidth="1"/>
    <col min="3" max="3" width="14.25390625" style="20" customWidth="1"/>
    <col min="4" max="4" width="14.25390625" style="1" customWidth="1"/>
    <col min="5" max="16384" width="9.125" style="1" customWidth="1"/>
  </cols>
  <sheetData>
    <row r="1" spans="1:4" ht="12.75">
      <c r="A1" s="314" t="s">
        <v>573</v>
      </c>
      <c r="B1" s="314"/>
      <c r="C1" s="314"/>
      <c r="D1" s="314"/>
    </row>
    <row r="2" spans="1:4" ht="12.75">
      <c r="A2" s="314" t="s">
        <v>378</v>
      </c>
      <c r="B2" s="314"/>
      <c r="C2" s="314"/>
      <c r="D2" s="314"/>
    </row>
    <row r="3" spans="1:4" ht="12.75">
      <c r="A3" s="314" t="s">
        <v>1136</v>
      </c>
      <c r="B3" s="314"/>
      <c r="C3" s="314"/>
      <c r="D3" s="314"/>
    </row>
    <row r="4" spans="1:4" ht="12.75">
      <c r="A4" s="315" t="s">
        <v>375</v>
      </c>
      <c r="B4" s="315"/>
      <c r="C4" s="315"/>
      <c r="D4" s="315"/>
    </row>
    <row r="5" spans="1:4" ht="12.75">
      <c r="A5" s="315" t="s">
        <v>339</v>
      </c>
      <c r="B5" s="315"/>
      <c r="C5" s="315"/>
      <c r="D5" s="315"/>
    </row>
    <row r="6" spans="1:4" ht="12.75">
      <c r="A6" s="313" t="s">
        <v>569</v>
      </c>
      <c r="B6" s="313"/>
      <c r="C6" s="313"/>
      <c r="D6" s="313"/>
    </row>
    <row r="7" spans="1:4" ht="12.75">
      <c r="A7" s="180"/>
      <c r="B7" s="180"/>
      <c r="C7" s="170"/>
      <c r="D7" s="179" t="s">
        <v>565</v>
      </c>
    </row>
    <row r="8" spans="1:4" ht="50.4">
      <c r="A8" s="169" t="s">
        <v>18</v>
      </c>
      <c r="B8" s="169" t="s">
        <v>384</v>
      </c>
      <c r="C8" s="171" t="s">
        <v>558</v>
      </c>
      <c r="D8" s="172" t="s">
        <v>559</v>
      </c>
    </row>
    <row r="9" spans="1:4" ht="12.75">
      <c r="A9" s="3">
        <v>1</v>
      </c>
      <c r="B9" s="5">
        <v>2</v>
      </c>
      <c r="C9" s="4">
        <v>3</v>
      </c>
      <c r="D9" s="28">
        <v>4</v>
      </c>
    </row>
    <row r="10" spans="1:4" ht="12.75">
      <c r="A10" s="3"/>
      <c r="B10" s="17" t="s">
        <v>41</v>
      </c>
      <c r="C10" s="22">
        <f>C11+C17+C20+C23+C27+C32+C34+C38+C41+C44</f>
        <v>688790.2999999998</v>
      </c>
      <c r="D10" s="22">
        <f>D11+D17+D20+D23+D27+D32+D34+D38+D41+D44</f>
        <v>663467.1</v>
      </c>
    </row>
    <row r="11" spans="1:4" ht="12.75">
      <c r="A11" s="6" t="s">
        <v>37</v>
      </c>
      <c r="B11" s="7" t="s">
        <v>386</v>
      </c>
      <c r="C11" s="22">
        <f>SUM(C12:C16)</f>
        <v>72939.8</v>
      </c>
      <c r="D11" s="22">
        <f>SUM(D12:D16)</f>
        <v>66268.7</v>
      </c>
    </row>
    <row r="12" spans="1:4" ht="33.6">
      <c r="A12" s="8" t="s">
        <v>25</v>
      </c>
      <c r="B12" s="9" t="s">
        <v>42</v>
      </c>
      <c r="C12" s="21">
        <f>'№9 р,ц,в'!E11</f>
        <v>1418.3</v>
      </c>
      <c r="D12" s="21">
        <f>'№9 р,ц,в'!F11</f>
        <v>1418.3</v>
      </c>
    </row>
    <row r="13" spans="1:4" ht="50.4">
      <c r="A13" s="8" t="s">
        <v>26</v>
      </c>
      <c r="B13" s="9" t="s">
        <v>1</v>
      </c>
      <c r="C13" s="21">
        <f>'№9 р,ц,в'!E16</f>
        <v>4487</v>
      </c>
      <c r="D13" s="21">
        <f>'№9 р,ц,в'!F16</f>
        <v>4440.7</v>
      </c>
    </row>
    <row r="14" spans="1:4" ht="50.4">
      <c r="A14" s="8" t="s">
        <v>27</v>
      </c>
      <c r="B14" s="9" t="s">
        <v>2</v>
      </c>
      <c r="C14" s="21">
        <f>'№9 р,ц,в'!E25</f>
        <v>35646.600000000006</v>
      </c>
      <c r="D14" s="21">
        <f>'№9 р,ц,в'!F25</f>
        <v>35279</v>
      </c>
    </row>
    <row r="15" spans="1:4" ht="42" customHeight="1">
      <c r="A15" s="8" t="s">
        <v>28</v>
      </c>
      <c r="B15" s="9" t="s">
        <v>368</v>
      </c>
      <c r="C15" s="21">
        <f>'№9 р,ц,в'!E37</f>
        <v>9660.000000000002</v>
      </c>
      <c r="D15" s="21">
        <f>'№9 р,ц,в'!F37</f>
        <v>9658.4</v>
      </c>
    </row>
    <row r="16" spans="1:4" ht="12.75">
      <c r="A16" s="8" t="s">
        <v>43</v>
      </c>
      <c r="B16" s="9" t="s">
        <v>3</v>
      </c>
      <c r="C16" s="21">
        <f>'№9 р,ц,в'!E44</f>
        <v>21727.899999999998</v>
      </c>
      <c r="D16" s="21">
        <f>'№9 р,ц,в'!F44</f>
        <v>15472.3</v>
      </c>
    </row>
    <row r="17" spans="1:4" ht="33.6">
      <c r="A17" s="6" t="s">
        <v>38</v>
      </c>
      <c r="B17" s="7" t="s">
        <v>4</v>
      </c>
      <c r="C17" s="22">
        <f>SUM(C18:C19)</f>
        <v>8770.900000000001</v>
      </c>
      <c r="D17" s="22">
        <f>SUM(D18:D19)</f>
        <v>8696.1</v>
      </c>
    </row>
    <row r="18" spans="1:4" ht="12.75">
      <c r="A18" s="8" t="s">
        <v>65</v>
      </c>
      <c r="B18" s="9" t="s">
        <v>66</v>
      </c>
      <c r="C18" s="21">
        <f>'№9 р,ц,в'!E97</f>
        <v>2123.8</v>
      </c>
      <c r="D18" s="21">
        <f>'№9 р,ц,в'!F97</f>
        <v>2049</v>
      </c>
    </row>
    <row r="19" spans="1:4" ht="33.6">
      <c r="A19" s="8" t="s">
        <v>29</v>
      </c>
      <c r="B19" s="9" t="s">
        <v>380</v>
      </c>
      <c r="C19" s="21">
        <f>'№9 р,ц,в'!E106</f>
        <v>6647.1</v>
      </c>
      <c r="D19" s="21">
        <f>'№9 р,ц,в'!F106</f>
        <v>6647.1</v>
      </c>
    </row>
    <row r="20" spans="1:4" ht="12.75">
      <c r="A20" s="6" t="s">
        <v>39</v>
      </c>
      <c r="B20" s="7" t="s">
        <v>5</v>
      </c>
      <c r="C20" s="22">
        <f>SUM(C21:C22)</f>
        <v>43445.299999999996</v>
      </c>
      <c r="D20" s="22">
        <f>SUM(D21:D22)</f>
        <v>42376</v>
      </c>
    </row>
    <row r="21" spans="1:4" ht="12.75">
      <c r="A21" s="8" t="s">
        <v>365</v>
      </c>
      <c r="B21" s="19" t="s">
        <v>366</v>
      </c>
      <c r="C21" s="21">
        <f>'№9 р,ц,в'!E112</f>
        <v>42861.399999999994</v>
      </c>
      <c r="D21" s="21">
        <f>'№9 р,ц,в'!F112</f>
        <v>41803.3</v>
      </c>
    </row>
    <row r="22" spans="1:4" ht="12.75">
      <c r="A22" s="8" t="s">
        <v>30</v>
      </c>
      <c r="B22" s="9" t="s">
        <v>6</v>
      </c>
      <c r="C22" s="21">
        <f>'№9 р,ц,в'!E130</f>
        <v>583.9000000000001</v>
      </c>
      <c r="D22" s="21">
        <f>'№9 р,ц,в'!F130</f>
        <v>572.7</v>
      </c>
    </row>
    <row r="23" spans="1:4" ht="12.75">
      <c r="A23" s="6" t="s">
        <v>40</v>
      </c>
      <c r="B23" s="7" t="s">
        <v>7</v>
      </c>
      <c r="C23" s="22">
        <f>SUM(C24:C26)</f>
        <v>37568</v>
      </c>
      <c r="D23" s="22">
        <f>SUM(D24:D26)</f>
        <v>32485.300000000003</v>
      </c>
    </row>
    <row r="24" spans="1:4" ht="12.75">
      <c r="A24" s="8" t="s">
        <v>363</v>
      </c>
      <c r="B24" s="23" t="s">
        <v>364</v>
      </c>
      <c r="C24" s="21">
        <f>'№9 р,ц,в'!E149</f>
        <v>18848.1</v>
      </c>
      <c r="D24" s="21">
        <f>'№9 р,ц,в'!F149</f>
        <v>18805.4</v>
      </c>
    </row>
    <row r="25" spans="1:4" ht="12.75">
      <c r="A25" s="8" t="s">
        <v>31</v>
      </c>
      <c r="B25" s="10" t="s">
        <v>8</v>
      </c>
      <c r="C25" s="21">
        <f>'№9 р,ц,в'!E158</f>
        <v>4553.2</v>
      </c>
      <c r="D25" s="21">
        <f>'№9 р,ц,в'!F158</f>
        <v>710.9000000000001</v>
      </c>
    </row>
    <row r="26" spans="1:4" ht="12.75">
      <c r="A26" s="8" t="s">
        <v>32</v>
      </c>
      <c r="B26" s="9" t="s">
        <v>9</v>
      </c>
      <c r="C26" s="21">
        <f>'№9 р,ц,в'!E170</f>
        <v>14166.7</v>
      </c>
      <c r="D26" s="21">
        <f>'№9 р,ц,в'!F170</f>
        <v>12969.000000000002</v>
      </c>
    </row>
    <row r="27" spans="1:4" ht="12.75">
      <c r="A27" s="6" t="s">
        <v>19</v>
      </c>
      <c r="B27" s="7" t="s">
        <v>10</v>
      </c>
      <c r="C27" s="22">
        <f>SUM(C28:C31)</f>
        <v>453167.5</v>
      </c>
      <c r="D27" s="22">
        <f>SUM(D28:D31)</f>
        <v>448189.89999999997</v>
      </c>
    </row>
    <row r="28" spans="1:4" ht="12.75">
      <c r="A28" s="8" t="s">
        <v>33</v>
      </c>
      <c r="B28" s="9" t="s">
        <v>372</v>
      </c>
      <c r="C28" s="21">
        <f>'№9 р,ц,в'!E185</f>
        <v>156388.4</v>
      </c>
      <c r="D28" s="21">
        <f>'№9 р,ц,в'!F185</f>
        <v>154227</v>
      </c>
    </row>
    <row r="29" spans="1:4" ht="12.75">
      <c r="A29" s="8" t="s">
        <v>34</v>
      </c>
      <c r="B29" s="9" t="s">
        <v>373</v>
      </c>
      <c r="C29" s="21">
        <f>'№9 р,ц,в'!E205</f>
        <v>273126.1</v>
      </c>
      <c r="D29" s="21">
        <f>'№9 р,ц,в'!F205</f>
        <v>270339.39999999997</v>
      </c>
    </row>
    <row r="30" spans="1:4" ht="12.75">
      <c r="A30" s="11" t="s">
        <v>20</v>
      </c>
      <c r="B30" s="9" t="s">
        <v>11</v>
      </c>
      <c r="C30" s="21">
        <f>'№9 р,ц,в'!E248</f>
        <v>8142.599999999999</v>
      </c>
      <c r="D30" s="21">
        <f>'№9 р,ц,в'!F248</f>
        <v>8134.9</v>
      </c>
    </row>
    <row r="31" spans="1:4" ht="12.75">
      <c r="A31" s="8" t="s">
        <v>35</v>
      </c>
      <c r="B31" s="9" t="s">
        <v>376</v>
      </c>
      <c r="C31" s="21">
        <f>'№9 р,ц,в'!E275</f>
        <v>15510.4</v>
      </c>
      <c r="D31" s="21">
        <f>'№9 р,ц,в'!F275</f>
        <v>15488.599999999999</v>
      </c>
    </row>
    <row r="32" spans="1:4" ht="12.75">
      <c r="A32" s="12" t="s">
        <v>23</v>
      </c>
      <c r="B32" s="7" t="s">
        <v>74</v>
      </c>
      <c r="C32" s="22">
        <f>SUM(C33:C33)</f>
        <v>33307.2</v>
      </c>
      <c r="D32" s="22">
        <f>SUM(D33:D33)</f>
        <v>27461.399999999998</v>
      </c>
    </row>
    <row r="33" spans="1:4" ht="12.75">
      <c r="A33" s="11" t="s">
        <v>24</v>
      </c>
      <c r="B33" s="9" t="s">
        <v>377</v>
      </c>
      <c r="C33" s="21">
        <f>'№9 р,ц,в'!E289</f>
        <v>33307.2</v>
      </c>
      <c r="D33" s="21">
        <f>'№9 р,ц,в'!F289</f>
        <v>27461.399999999998</v>
      </c>
    </row>
    <row r="34" spans="1:4" ht="12.75">
      <c r="A34" s="6" t="s">
        <v>21</v>
      </c>
      <c r="B34" s="7" t="s">
        <v>13</v>
      </c>
      <c r="C34" s="22">
        <f>SUM(C35:C37)</f>
        <v>23671.7</v>
      </c>
      <c r="D34" s="22">
        <f>SUM(D35:D37)</f>
        <v>22086.8</v>
      </c>
    </row>
    <row r="35" spans="1:4" ht="12.75">
      <c r="A35" s="11" t="s">
        <v>36</v>
      </c>
      <c r="B35" s="9" t="s">
        <v>14</v>
      </c>
      <c r="C35" s="21">
        <f>'№9 р,ц,в'!E328</f>
        <v>1669.2</v>
      </c>
      <c r="D35" s="21">
        <f>'№9 р,ц,в'!F328</f>
        <v>1669.2</v>
      </c>
    </row>
    <row r="36" spans="1:4" ht="12.75">
      <c r="A36" s="11" t="s">
        <v>22</v>
      </c>
      <c r="B36" s="9" t="s">
        <v>16</v>
      </c>
      <c r="C36" s="21">
        <f>'№9 р,ц,в'!E333</f>
        <v>7826.900000000001</v>
      </c>
      <c r="D36" s="21">
        <f>'№9 р,ц,в'!F333</f>
        <v>6557.599999999999</v>
      </c>
    </row>
    <row r="37" spans="1:4" ht="12.75">
      <c r="A37" s="11" t="s">
        <v>108</v>
      </c>
      <c r="B37" s="9" t="s">
        <v>109</v>
      </c>
      <c r="C37" s="21">
        <f>'№9 р,ц,в'!E363</f>
        <v>14175.6</v>
      </c>
      <c r="D37" s="21">
        <f>'№9 р,ц,в'!F363</f>
        <v>13860</v>
      </c>
    </row>
    <row r="38" spans="1:4" ht="12.75">
      <c r="A38" s="6" t="s">
        <v>44</v>
      </c>
      <c r="B38" s="7" t="s">
        <v>12</v>
      </c>
      <c r="C38" s="22">
        <f>SUM(C39:C40)</f>
        <v>12948.7</v>
      </c>
      <c r="D38" s="22">
        <f>SUM(D39:D40)</f>
        <v>12931.7</v>
      </c>
    </row>
    <row r="39" spans="1:4" ht="12.75">
      <c r="A39" s="18">
        <v>1102</v>
      </c>
      <c r="B39" s="19" t="s">
        <v>45</v>
      </c>
      <c r="C39" s="21">
        <f>'№9 р,ц,в'!E375</f>
        <v>10753.1</v>
      </c>
      <c r="D39" s="21">
        <f>'№9 р,ц,в'!F375</f>
        <v>10749</v>
      </c>
    </row>
    <row r="40" spans="1:4" ht="12.75">
      <c r="A40" s="18">
        <v>1105</v>
      </c>
      <c r="B40" s="30" t="s">
        <v>340</v>
      </c>
      <c r="C40" s="21">
        <f>'№9 р,ц,в'!E390</f>
        <v>2195.6000000000004</v>
      </c>
      <c r="D40" s="21">
        <f>'№9 р,ц,в'!F390</f>
        <v>2182.7000000000003</v>
      </c>
    </row>
    <row r="41" spans="1:4" ht="12.75">
      <c r="A41" s="6">
        <v>1200</v>
      </c>
      <c r="B41" s="7" t="s">
        <v>46</v>
      </c>
      <c r="C41" s="22">
        <f>SUM(C42:C43)</f>
        <v>2631.6</v>
      </c>
      <c r="D41" s="22">
        <f>SUM(D42:D43)</f>
        <v>2631.6</v>
      </c>
    </row>
    <row r="42" spans="1:4" ht="12.75">
      <c r="A42" s="8" t="s">
        <v>49</v>
      </c>
      <c r="B42" s="9" t="s">
        <v>374</v>
      </c>
      <c r="C42" s="21">
        <f>'№9 р,ц,в'!E398</f>
        <v>770</v>
      </c>
      <c r="D42" s="21">
        <f>'№9 р,ц,в'!F398</f>
        <v>770</v>
      </c>
    </row>
    <row r="43" spans="1:4" ht="12.75">
      <c r="A43" s="18">
        <v>1204</v>
      </c>
      <c r="B43" s="9" t="s">
        <v>52</v>
      </c>
      <c r="C43" s="21">
        <f>'№9 р,ц,в'!E403</f>
        <v>1861.6</v>
      </c>
      <c r="D43" s="21">
        <f>'№9 р,ц,в'!F403</f>
        <v>1861.6</v>
      </c>
    </row>
    <row r="44" spans="1:4" ht="12.75">
      <c r="A44" s="6" t="s">
        <v>47</v>
      </c>
      <c r="B44" s="7" t="s">
        <v>369</v>
      </c>
      <c r="C44" s="22">
        <f>C45</f>
        <v>339.6</v>
      </c>
      <c r="D44" s="22">
        <f>D45</f>
        <v>339.6</v>
      </c>
    </row>
    <row r="45" spans="1:4" ht="33.6">
      <c r="A45" s="18">
        <v>1301</v>
      </c>
      <c r="B45" s="9" t="s">
        <v>48</v>
      </c>
      <c r="C45" s="21">
        <f>'№9 р,ц,в'!E417</f>
        <v>339.6</v>
      </c>
      <c r="D45" s="21">
        <f>'№9 р,ц,в'!F417</f>
        <v>339.6</v>
      </c>
    </row>
    <row r="51" ht="12.75">
      <c r="B51" s="13"/>
    </row>
  </sheetData>
  <mergeCells count="6">
    <mergeCell ref="A6:D6"/>
    <mergeCell ref="A1:D1"/>
    <mergeCell ref="A2:D2"/>
    <mergeCell ref="A3:D3"/>
    <mergeCell ref="A4:D4"/>
    <mergeCell ref="A5:D5"/>
  </mergeCells>
  <printOptions/>
  <pageMargins left="0.5905511811023623" right="0.1968503937007874" top="0.1968503937007874" bottom="0" header="0.5118110236220472" footer="0.5118110236220472"/>
  <pageSetup fitToHeight="0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7"/>
  <sheetViews>
    <sheetView zoomScale="95" zoomScaleNormal="95" workbookViewId="0" topLeftCell="A1">
      <selection activeCell="A5" sqref="A5:G5"/>
    </sheetView>
  </sheetViews>
  <sheetFormatPr defaultColWidth="9.125" defaultRowHeight="12.75"/>
  <cols>
    <col min="1" max="1" width="6.625" style="58" customWidth="1"/>
    <col min="2" max="2" width="7.125" style="58" customWidth="1"/>
    <col min="3" max="3" width="10.125" style="58" customWidth="1"/>
    <col min="4" max="4" width="5.625" style="45" customWidth="1"/>
    <col min="5" max="5" width="59.50390625" style="71" customWidth="1"/>
    <col min="6" max="6" width="13.625" style="49" customWidth="1"/>
    <col min="7" max="7" width="12.875" style="72" customWidth="1"/>
    <col min="8" max="16384" width="9.125" style="72" customWidth="1"/>
  </cols>
  <sheetData>
    <row r="1" spans="2:7" ht="12.75">
      <c r="B1" s="181"/>
      <c r="C1" s="181"/>
      <c r="D1" s="182"/>
      <c r="E1" s="183"/>
      <c r="F1" s="316" t="s">
        <v>574</v>
      </c>
      <c r="G1" s="316"/>
    </row>
    <row r="2" spans="2:7" ht="12.75">
      <c r="B2" s="181"/>
      <c r="C2" s="317" t="s">
        <v>378</v>
      </c>
      <c r="D2" s="317"/>
      <c r="E2" s="317"/>
      <c r="F2" s="317"/>
      <c r="G2" s="317"/>
    </row>
    <row r="3" spans="2:7" ht="12.75">
      <c r="B3" s="317" t="s">
        <v>1137</v>
      </c>
      <c r="C3" s="317"/>
      <c r="D3" s="317"/>
      <c r="E3" s="317"/>
      <c r="F3" s="317"/>
      <c r="G3" s="317"/>
    </row>
    <row r="4" ht="12.75">
      <c r="E4" s="57"/>
    </row>
    <row r="5" spans="1:7" s="71" customFormat="1" ht="12.75">
      <c r="A5" s="318" t="s">
        <v>1126</v>
      </c>
      <c r="B5" s="318"/>
      <c r="C5" s="318"/>
      <c r="D5" s="318"/>
      <c r="E5" s="318"/>
      <c r="F5" s="318"/>
      <c r="G5" s="318"/>
    </row>
    <row r="6" spans="5:7" ht="12.75">
      <c r="E6" s="57"/>
      <c r="G6" s="179" t="s">
        <v>565</v>
      </c>
    </row>
    <row r="7" spans="1:7" ht="50.4">
      <c r="A7" s="127" t="s">
        <v>381</v>
      </c>
      <c r="B7" s="127" t="s">
        <v>18</v>
      </c>
      <c r="C7" s="127" t="s">
        <v>382</v>
      </c>
      <c r="D7" s="128" t="s">
        <v>383</v>
      </c>
      <c r="E7" s="128" t="s">
        <v>384</v>
      </c>
      <c r="F7" s="167" t="s">
        <v>558</v>
      </c>
      <c r="G7" s="149" t="s">
        <v>559</v>
      </c>
    </row>
    <row r="8" spans="1:7" ht="12.75">
      <c r="A8" s="43">
        <v>1</v>
      </c>
      <c r="B8" s="43">
        <v>2</v>
      </c>
      <c r="C8" s="43">
        <v>3</v>
      </c>
      <c r="D8" s="29">
        <v>4</v>
      </c>
      <c r="E8" s="29">
        <v>5</v>
      </c>
      <c r="F8" s="53">
        <v>6</v>
      </c>
      <c r="G8" s="28">
        <v>7</v>
      </c>
    </row>
    <row r="9" spans="1:7" s="73" customFormat="1" ht="12.75">
      <c r="A9" s="59"/>
      <c r="B9" s="59"/>
      <c r="C9" s="59"/>
      <c r="D9" s="47"/>
      <c r="E9" s="37" t="s">
        <v>341</v>
      </c>
      <c r="F9" s="52">
        <f>F10+F226+F255+F286+F297+F369</f>
        <v>688790.3</v>
      </c>
      <c r="G9" s="52">
        <f>G10+G226+G255+G286+G297+G369</f>
        <v>663467.1</v>
      </c>
    </row>
    <row r="10" spans="1:7" ht="33.6">
      <c r="A10" s="26" t="s">
        <v>385</v>
      </c>
      <c r="B10" s="26"/>
      <c r="C10" s="26"/>
      <c r="D10" s="26"/>
      <c r="E10" s="27" t="s">
        <v>78</v>
      </c>
      <c r="F10" s="52">
        <f>F11+F58+F73+F104+F140+F146+F185+F207</f>
        <v>181337.00000000003</v>
      </c>
      <c r="G10" s="52">
        <f>G11+G58+G73+G104+G140+G146+G185+G207</f>
        <v>168725.90000000002</v>
      </c>
    </row>
    <row r="11" spans="1:7" ht="12.75">
      <c r="A11" s="25" t="s">
        <v>385</v>
      </c>
      <c r="B11" s="25" t="s">
        <v>37</v>
      </c>
      <c r="C11" s="25"/>
      <c r="D11" s="25"/>
      <c r="E11" s="23" t="s">
        <v>386</v>
      </c>
      <c r="F11" s="51">
        <f>F12+F17+F29</f>
        <v>37943.50000000001</v>
      </c>
      <c r="G11" s="126">
        <f>G12+G17+G29</f>
        <v>37483.3</v>
      </c>
    </row>
    <row r="12" spans="1:7" ht="50.4">
      <c r="A12" s="25" t="s">
        <v>385</v>
      </c>
      <c r="B12" s="25" t="s">
        <v>25</v>
      </c>
      <c r="C12" s="25"/>
      <c r="D12" s="25"/>
      <c r="E12" s="23" t="s">
        <v>42</v>
      </c>
      <c r="F12" s="51">
        <f aca="true" t="shared" si="0" ref="F12:G15">F13</f>
        <v>1418.3</v>
      </c>
      <c r="G12" s="126">
        <f t="shared" si="0"/>
        <v>1418.3</v>
      </c>
    </row>
    <row r="13" spans="1:7" ht="67.2">
      <c r="A13" s="25" t="s">
        <v>385</v>
      </c>
      <c r="B13" s="25" t="s">
        <v>25</v>
      </c>
      <c r="C13" s="43" t="s">
        <v>342</v>
      </c>
      <c r="D13" s="29"/>
      <c r="E13" s="23" t="s">
        <v>322</v>
      </c>
      <c r="F13" s="51">
        <f t="shared" si="0"/>
        <v>1418.3</v>
      </c>
      <c r="G13" s="126">
        <f t="shared" si="0"/>
        <v>1418.3</v>
      </c>
    </row>
    <row r="14" spans="1:7" ht="12.75">
      <c r="A14" s="25" t="s">
        <v>385</v>
      </c>
      <c r="B14" s="25" t="s">
        <v>25</v>
      </c>
      <c r="C14" s="43" t="s">
        <v>344</v>
      </c>
      <c r="D14" s="29"/>
      <c r="E14" s="23" t="s">
        <v>343</v>
      </c>
      <c r="F14" s="51">
        <f t="shared" si="0"/>
        <v>1418.3</v>
      </c>
      <c r="G14" s="126">
        <f t="shared" si="0"/>
        <v>1418.3</v>
      </c>
    </row>
    <row r="15" spans="1:7" ht="12.75">
      <c r="A15" s="25" t="s">
        <v>385</v>
      </c>
      <c r="B15" s="25" t="s">
        <v>25</v>
      </c>
      <c r="C15" s="43" t="s">
        <v>310</v>
      </c>
      <c r="D15" s="8"/>
      <c r="E15" s="23" t="s">
        <v>0</v>
      </c>
      <c r="F15" s="51">
        <f t="shared" si="0"/>
        <v>1418.3</v>
      </c>
      <c r="G15" s="126">
        <f t="shared" si="0"/>
        <v>1418.3</v>
      </c>
    </row>
    <row r="16" spans="1:7" ht="84">
      <c r="A16" s="25" t="s">
        <v>385</v>
      </c>
      <c r="B16" s="25" t="s">
        <v>25</v>
      </c>
      <c r="C16" s="43" t="s">
        <v>310</v>
      </c>
      <c r="D16" s="29">
        <v>100</v>
      </c>
      <c r="E16" s="30" t="s">
        <v>346</v>
      </c>
      <c r="F16" s="51">
        <f>1455.3-37</f>
        <v>1418.3</v>
      </c>
      <c r="G16" s="126">
        <v>1418.3</v>
      </c>
    </row>
    <row r="17" spans="1:7" ht="67.2">
      <c r="A17" s="25" t="s">
        <v>385</v>
      </c>
      <c r="B17" s="25" t="s">
        <v>27</v>
      </c>
      <c r="C17" s="25"/>
      <c r="D17" s="25"/>
      <c r="E17" s="23" t="s">
        <v>2</v>
      </c>
      <c r="F17" s="51">
        <f aca="true" t="shared" si="1" ref="F17:G18">F18</f>
        <v>35646.600000000006</v>
      </c>
      <c r="G17" s="126">
        <f t="shared" si="1"/>
        <v>35279</v>
      </c>
    </row>
    <row r="18" spans="1:7" ht="67.2">
      <c r="A18" s="25" t="s">
        <v>385</v>
      </c>
      <c r="B18" s="25" t="s">
        <v>27</v>
      </c>
      <c r="C18" s="43" t="s">
        <v>342</v>
      </c>
      <c r="D18" s="29"/>
      <c r="E18" s="23" t="s">
        <v>322</v>
      </c>
      <c r="F18" s="51">
        <f t="shared" si="1"/>
        <v>35646.600000000006</v>
      </c>
      <c r="G18" s="126">
        <f t="shared" si="1"/>
        <v>35279</v>
      </c>
    </row>
    <row r="19" spans="1:7" ht="12.75">
      <c r="A19" s="25" t="s">
        <v>385</v>
      </c>
      <c r="B19" s="25" t="s">
        <v>27</v>
      </c>
      <c r="C19" s="43" t="s">
        <v>344</v>
      </c>
      <c r="D19" s="29"/>
      <c r="E19" s="23" t="s">
        <v>343</v>
      </c>
      <c r="F19" s="51">
        <f>F20+F24+F26</f>
        <v>35646.600000000006</v>
      </c>
      <c r="G19" s="126">
        <f>G20+G24+G26</f>
        <v>35279</v>
      </c>
    </row>
    <row r="20" spans="1:7" ht="74.4" customHeight="1">
      <c r="A20" s="25" t="s">
        <v>385</v>
      </c>
      <c r="B20" s="25" t="s">
        <v>27</v>
      </c>
      <c r="C20" s="8" t="s">
        <v>311</v>
      </c>
      <c r="D20" s="8"/>
      <c r="E20" s="23" t="s">
        <v>63</v>
      </c>
      <c r="F20" s="51">
        <f>F21+F22+F23</f>
        <v>34900.8</v>
      </c>
      <c r="G20" s="126">
        <f>G21+G22+G23</f>
        <v>34534.1</v>
      </c>
    </row>
    <row r="21" spans="1:7" ht="84">
      <c r="A21" s="25" t="s">
        <v>385</v>
      </c>
      <c r="B21" s="25" t="s">
        <v>27</v>
      </c>
      <c r="C21" s="8" t="s">
        <v>311</v>
      </c>
      <c r="D21" s="67" t="s">
        <v>55</v>
      </c>
      <c r="E21" s="9" t="s">
        <v>346</v>
      </c>
      <c r="F21" s="51">
        <f>30079.8-69.3</f>
        <v>30010.5</v>
      </c>
      <c r="G21" s="126">
        <v>30010</v>
      </c>
    </row>
    <row r="22" spans="1:7" ht="33.6">
      <c r="A22" s="25" t="s">
        <v>385</v>
      </c>
      <c r="B22" s="25" t="s">
        <v>27</v>
      </c>
      <c r="C22" s="8" t="s">
        <v>311</v>
      </c>
      <c r="D22" s="67" t="s">
        <v>56</v>
      </c>
      <c r="E22" s="9" t="s">
        <v>57</v>
      </c>
      <c r="F22" s="51">
        <f>4838.3+5+155.1-352.6</f>
        <v>4645.8</v>
      </c>
      <c r="G22" s="126">
        <v>4288</v>
      </c>
    </row>
    <row r="23" spans="1:7" ht="12.75">
      <c r="A23" s="25" t="s">
        <v>385</v>
      </c>
      <c r="B23" s="25" t="s">
        <v>27</v>
      </c>
      <c r="C23" s="8" t="s">
        <v>311</v>
      </c>
      <c r="D23" s="67" t="s">
        <v>58</v>
      </c>
      <c r="E23" s="70" t="s">
        <v>59</v>
      </c>
      <c r="F23" s="51">
        <v>244.5</v>
      </c>
      <c r="G23" s="126">
        <v>236.1</v>
      </c>
    </row>
    <row r="24" spans="1:7" ht="67.2">
      <c r="A24" s="25" t="s">
        <v>385</v>
      </c>
      <c r="B24" s="25" t="s">
        <v>27</v>
      </c>
      <c r="C24" s="8" t="s">
        <v>347</v>
      </c>
      <c r="D24" s="8"/>
      <c r="E24" s="9" t="s">
        <v>64</v>
      </c>
      <c r="F24" s="51">
        <f>F25</f>
        <v>122.4</v>
      </c>
      <c r="G24" s="126">
        <f>G25</f>
        <v>122.4</v>
      </c>
    </row>
    <row r="25" spans="1:7" ht="84">
      <c r="A25" s="25" t="s">
        <v>385</v>
      </c>
      <c r="B25" s="25" t="s">
        <v>27</v>
      </c>
      <c r="C25" s="8" t="s">
        <v>347</v>
      </c>
      <c r="D25" s="67" t="s">
        <v>55</v>
      </c>
      <c r="E25" s="9" t="s">
        <v>346</v>
      </c>
      <c r="F25" s="51">
        <f>100.9+21.6-0.1</f>
        <v>122.4</v>
      </c>
      <c r="G25" s="126">
        <v>122.4</v>
      </c>
    </row>
    <row r="26" spans="1:7" ht="84">
      <c r="A26" s="25" t="s">
        <v>385</v>
      </c>
      <c r="B26" s="25" t="s">
        <v>27</v>
      </c>
      <c r="C26" s="8" t="s">
        <v>348</v>
      </c>
      <c r="D26" s="8"/>
      <c r="E26" s="56" t="s">
        <v>349</v>
      </c>
      <c r="F26" s="51">
        <f>F27+F28</f>
        <v>623.4</v>
      </c>
      <c r="G26" s="126">
        <f>G27+G28</f>
        <v>622.5</v>
      </c>
    </row>
    <row r="27" spans="1:7" ht="84">
      <c r="A27" s="25" t="s">
        <v>385</v>
      </c>
      <c r="B27" s="25" t="s">
        <v>27</v>
      </c>
      <c r="C27" s="8" t="s">
        <v>348</v>
      </c>
      <c r="D27" s="67" t="s">
        <v>55</v>
      </c>
      <c r="E27" s="9" t="s">
        <v>346</v>
      </c>
      <c r="F27" s="51">
        <f>544.9+0.6-0.6</f>
        <v>544.9</v>
      </c>
      <c r="G27" s="126">
        <v>544.8</v>
      </c>
    </row>
    <row r="28" spans="1:7" ht="33.6">
      <c r="A28" s="25" t="s">
        <v>385</v>
      </c>
      <c r="B28" s="25" t="s">
        <v>27</v>
      </c>
      <c r="C28" s="8" t="s">
        <v>348</v>
      </c>
      <c r="D28" s="67" t="s">
        <v>56</v>
      </c>
      <c r="E28" s="9" t="s">
        <v>57</v>
      </c>
      <c r="F28" s="51">
        <f>78.5-0.6+0.6</f>
        <v>78.5</v>
      </c>
      <c r="G28" s="126">
        <v>77.7</v>
      </c>
    </row>
    <row r="29" spans="1:7" ht="12.75">
      <c r="A29" s="25" t="s">
        <v>385</v>
      </c>
      <c r="B29" s="25" t="s">
        <v>43</v>
      </c>
      <c r="C29" s="26"/>
      <c r="D29" s="26"/>
      <c r="E29" s="9" t="s">
        <v>3</v>
      </c>
      <c r="F29" s="51">
        <f>F30+F54</f>
        <v>878.6000000000001</v>
      </c>
      <c r="G29" s="126">
        <f>G30+G54</f>
        <v>786</v>
      </c>
    </row>
    <row r="30" spans="1:7" ht="67.2">
      <c r="A30" s="25" t="s">
        <v>385</v>
      </c>
      <c r="B30" s="25" t="s">
        <v>43</v>
      </c>
      <c r="C30" s="43" t="s">
        <v>342</v>
      </c>
      <c r="D30" s="67"/>
      <c r="E30" s="23" t="s">
        <v>322</v>
      </c>
      <c r="F30" s="51">
        <f>F31+F36+F41+F44+F48</f>
        <v>863.6000000000001</v>
      </c>
      <c r="G30" s="126">
        <f>G31+G36+G41+G44+G48</f>
        <v>771</v>
      </c>
    </row>
    <row r="31" spans="1:7" ht="67.2">
      <c r="A31" s="25" t="s">
        <v>385</v>
      </c>
      <c r="B31" s="25" t="s">
        <v>43</v>
      </c>
      <c r="C31" s="43" t="s">
        <v>357</v>
      </c>
      <c r="D31" s="67"/>
      <c r="E31" s="9" t="s">
        <v>356</v>
      </c>
      <c r="F31" s="51">
        <f>F32+F34</f>
        <v>379.30000000000007</v>
      </c>
      <c r="G31" s="126">
        <f>G32+G34</f>
        <v>309.79999999999995</v>
      </c>
    </row>
    <row r="32" spans="1:7" ht="33.6">
      <c r="A32" s="25" t="s">
        <v>385</v>
      </c>
      <c r="B32" s="25" t="s">
        <v>43</v>
      </c>
      <c r="C32" s="43" t="s">
        <v>220</v>
      </c>
      <c r="D32" s="67"/>
      <c r="E32" s="9" t="s">
        <v>221</v>
      </c>
      <c r="F32" s="51">
        <f>F33</f>
        <v>85.40000000000003</v>
      </c>
      <c r="G32" s="126">
        <f>G33</f>
        <v>15.9</v>
      </c>
    </row>
    <row r="33" spans="1:7" ht="33.6">
      <c r="A33" s="25" t="s">
        <v>385</v>
      </c>
      <c r="B33" s="25" t="s">
        <v>43</v>
      </c>
      <c r="C33" s="43" t="s">
        <v>220</v>
      </c>
      <c r="D33" s="67" t="s">
        <v>56</v>
      </c>
      <c r="E33" s="9" t="s">
        <v>57</v>
      </c>
      <c r="F33" s="51">
        <f>269.6-5-2.4-176.8</f>
        <v>85.40000000000003</v>
      </c>
      <c r="G33" s="126">
        <v>15.9</v>
      </c>
    </row>
    <row r="34" spans="1:7" s="74" customFormat="1" ht="50.4">
      <c r="A34" s="25" t="s">
        <v>385</v>
      </c>
      <c r="B34" s="25" t="s">
        <v>43</v>
      </c>
      <c r="C34" s="11" t="s">
        <v>398</v>
      </c>
      <c r="D34" s="67"/>
      <c r="E34" s="9" t="s">
        <v>397</v>
      </c>
      <c r="F34" s="61">
        <f>F35</f>
        <v>293.90000000000003</v>
      </c>
      <c r="G34" s="61">
        <f>G35</f>
        <v>293.9</v>
      </c>
    </row>
    <row r="35" spans="1:7" s="74" customFormat="1" ht="33.6">
      <c r="A35" s="25" t="s">
        <v>385</v>
      </c>
      <c r="B35" s="25" t="s">
        <v>43</v>
      </c>
      <c r="C35" s="11" t="s">
        <v>398</v>
      </c>
      <c r="D35" s="67" t="s">
        <v>56</v>
      </c>
      <c r="E35" s="9" t="s">
        <v>57</v>
      </c>
      <c r="F35" s="61">
        <f>460.6-166.7</f>
        <v>293.90000000000003</v>
      </c>
      <c r="G35" s="61">
        <v>293.9</v>
      </c>
    </row>
    <row r="36" spans="1:7" ht="117.6">
      <c r="A36" s="25" t="s">
        <v>385</v>
      </c>
      <c r="B36" s="25" t="s">
        <v>43</v>
      </c>
      <c r="C36" s="43" t="s">
        <v>222</v>
      </c>
      <c r="D36" s="67"/>
      <c r="E36" s="9" t="s">
        <v>223</v>
      </c>
      <c r="F36" s="51">
        <f>F37+F39</f>
        <v>75</v>
      </c>
      <c r="G36" s="126">
        <f>G37+G39</f>
        <v>75</v>
      </c>
    </row>
    <row r="37" spans="1:7" ht="50.4">
      <c r="A37" s="25" t="s">
        <v>385</v>
      </c>
      <c r="B37" s="25" t="s">
        <v>43</v>
      </c>
      <c r="C37" s="43" t="s">
        <v>225</v>
      </c>
      <c r="D37" s="67"/>
      <c r="E37" s="9" t="s">
        <v>224</v>
      </c>
      <c r="F37" s="51">
        <f>F38</f>
        <v>50</v>
      </c>
      <c r="G37" s="126">
        <f>G38</f>
        <v>50</v>
      </c>
    </row>
    <row r="38" spans="1:7" ht="12.75">
      <c r="A38" s="25" t="s">
        <v>385</v>
      </c>
      <c r="B38" s="25" t="s">
        <v>43</v>
      </c>
      <c r="C38" s="43" t="s">
        <v>225</v>
      </c>
      <c r="D38" s="67" t="s">
        <v>58</v>
      </c>
      <c r="E38" s="70" t="s">
        <v>59</v>
      </c>
      <c r="F38" s="51">
        <v>50</v>
      </c>
      <c r="G38" s="126">
        <v>50</v>
      </c>
    </row>
    <row r="39" spans="1:7" ht="67.2">
      <c r="A39" s="25" t="s">
        <v>385</v>
      </c>
      <c r="B39" s="25" t="s">
        <v>43</v>
      </c>
      <c r="C39" s="43" t="s">
        <v>227</v>
      </c>
      <c r="D39" s="67"/>
      <c r="E39" s="9" t="s">
        <v>226</v>
      </c>
      <c r="F39" s="51">
        <f>F40</f>
        <v>25</v>
      </c>
      <c r="G39" s="126">
        <f>G40</f>
        <v>25</v>
      </c>
    </row>
    <row r="40" spans="1:7" ht="33.6">
      <c r="A40" s="25" t="s">
        <v>385</v>
      </c>
      <c r="B40" s="25" t="s">
        <v>43</v>
      </c>
      <c r="C40" s="43" t="s">
        <v>227</v>
      </c>
      <c r="D40" s="67" t="s">
        <v>56</v>
      </c>
      <c r="E40" s="9" t="s">
        <v>57</v>
      </c>
      <c r="F40" s="51">
        <v>25</v>
      </c>
      <c r="G40" s="126">
        <v>25</v>
      </c>
    </row>
    <row r="41" spans="1:7" ht="33.6">
      <c r="A41" s="25" t="s">
        <v>385</v>
      </c>
      <c r="B41" s="25" t="s">
        <v>43</v>
      </c>
      <c r="C41" s="43" t="s">
        <v>228</v>
      </c>
      <c r="D41" s="67"/>
      <c r="E41" s="9" t="s">
        <v>229</v>
      </c>
      <c r="F41" s="51">
        <f aca="true" t="shared" si="2" ref="F41:G42">F42</f>
        <v>47.30000000000001</v>
      </c>
      <c r="G41" s="126">
        <f t="shared" si="2"/>
        <v>47.3</v>
      </c>
    </row>
    <row r="42" spans="1:7" ht="33.6">
      <c r="A42" s="25" t="s">
        <v>385</v>
      </c>
      <c r="B42" s="25" t="s">
        <v>43</v>
      </c>
      <c r="C42" s="43" t="s">
        <v>230</v>
      </c>
      <c r="D42" s="67"/>
      <c r="E42" s="9" t="s">
        <v>231</v>
      </c>
      <c r="F42" s="51">
        <f t="shared" si="2"/>
        <v>47.30000000000001</v>
      </c>
      <c r="G42" s="126">
        <f t="shared" si="2"/>
        <v>47.3</v>
      </c>
    </row>
    <row r="43" spans="1:7" ht="12.75">
      <c r="A43" s="25" t="s">
        <v>385</v>
      </c>
      <c r="B43" s="25" t="s">
        <v>43</v>
      </c>
      <c r="C43" s="43" t="s">
        <v>230</v>
      </c>
      <c r="D43" s="15" t="s">
        <v>61</v>
      </c>
      <c r="E43" s="9" t="s">
        <v>62</v>
      </c>
      <c r="F43" s="51">
        <f>180-132.7</f>
        <v>47.30000000000001</v>
      </c>
      <c r="G43" s="126">
        <v>47.3</v>
      </c>
    </row>
    <row r="44" spans="1:7" ht="67.2">
      <c r="A44" s="25" t="s">
        <v>385</v>
      </c>
      <c r="B44" s="25" t="s">
        <v>43</v>
      </c>
      <c r="C44" s="43" t="s">
        <v>214</v>
      </c>
      <c r="D44" s="67"/>
      <c r="E44" s="9" t="s">
        <v>215</v>
      </c>
      <c r="F44" s="51">
        <f>F45</f>
        <v>51.5</v>
      </c>
      <c r="G44" s="126">
        <f>G45</f>
        <v>51.5</v>
      </c>
    </row>
    <row r="45" spans="1:7" ht="33.6">
      <c r="A45" s="25" t="s">
        <v>385</v>
      </c>
      <c r="B45" s="25" t="s">
        <v>43</v>
      </c>
      <c r="C45" s="43" t="s">
        <v>219</v>
      </c>
      <c r="D45" s="67"/>
      <c r="E45" s="9" t="s">
        <v>218</v>
      </c>
      <c r="F45" s="51">
        <f>F47+F46</f>
        <v>51.5</v>
      </c>
      <c r="G45" s="126">
        <f>G47+G46</f>
        <v>51.5</v>
      </c>
    </row>
    <row r="46" spans="1:7" ht="33.6">
      <c r="A46" s="25" t="s">
        <v>385</v>
      </c>
      <c r="B46" s="25" t="s">
        <v>43</v>
      </c>
      <c r="C46" s="43" t="s">
        <v>219</v>
      </c>
      <c r="D46" s="67" t="s">
        <v>56</v>
      </c>
      <c r="E46" s="9" t="s">
        <v>57</v>
      </c>
      <c r="F46" s="51">
        <f>42-3.6+0.1</f>
        <v>38.5</v>
      </c>
      <c r="G46" s="126">
        <v>38.5</v>
      </c>
    </row>
    <row r="47" spans="1:7" ht="12.75">
      <c r="A47" s="25" t="s">
        <v>385</v>
      </c>
      <c r="B47" s="25" t="s">
        <v>43</v>
      </c>
      <c r="C47" s="43" t="s">
        <v>219</v>
      </c>
      <c r="D47" s="15" t="s">
        <v>61</v>
      </c>
      <c r="E47" s="9" t="s">
        <v>62</v>
      </c>
      <c r="F47" s="51">
        <f>55.1-42-0.1</f>
        <v>13.000000000000002</v>
      </c>
      <c r="G47" s="126">
        <v>13</v>
      </c>
    </row>
    <row r="48" spans="1:7" ht="12.75">
      <c r="A48" s="25" t="s">
        <v>385</v>
      </c>
      <c r="B48" s="25" t="s">
        <v>43</v>
      </c>
      <c r="C48" s="43" t="s">
        <v>344</v>
      </c>
      <c r="D48" s="67"/>
      <c r="E48" s="9" t="s">
        <v>343</v>
      </c>
      <c r="F48" s="51">
        <f>F49+F51</f>
        <v>310.5</v>
      </c>
      <c r="G48" s="126">
        <f>G49+G51</f>
        <v>287.40000000000003</v>
      </c>
    </row>
    <row r="49" spans="1:7" ht="67.2">
      <c r="A49" s="25" t="s">
        <v>385</v>
      </c>
      <c r="B49" s="25" t="s">
        <v>43</v>
      </c>
      <c r="C49" s="43" t="s">
        <v>347</v>
      </c>
      <c r="D49" s="67"/>
      <c r="E49" s="9" t="s">
        <v>64</v>
      </c>
      <c r="F49" s="51">
        <f>F50</f>
        <v>57.2</v>
      </c>
      <c r="G49" s="126">
        <f>G50</f>
        <v>57.2</v>
      </c>
    </row>
    <row r="50" spans="1:7" ht="84">
      <c r="A50" s="25" t="s">
        <v>385</v>
      </c>
      <c r="B50" s="25" t="s">
        <v>43</v>
      </c>
      <c r="C50" s="43" t="s">
        <v>347</v>
      </c>
      <c r="D50" s="67" t="s">
        <v>55</v>
      </c>
      <c r="E50" s="9" t="s">
        <v>346</v>
      </c>
      <c r="F50" s="51">
        <f>45+12.1+0.1</f>
        <v>57.2</v>
      </c>
      <c r="G50" s="126">
        <v>57.2</v>
      </c>
    </row>
    <row r="51" spans="1:7" ht="91.2" customHeight="1">
      <c r="A51" s="25" t="s">
        <v>385</v>
      </c>
      <c r="B51" s="25" t="s">
        <v>43</v>
      </c>
      <c r="C51" s="43" t="s">
        <v>305</v>
      </c>
      <c r="D51" s="67"/>
      <c r="E51" s="9" t="s">
        <v>306</v>
      </c>
      <c r="F51" s="51">
        <f>F52+F53</f>
        <v>253.3</v>
      </c>
      <c r="G51" s="126">
        <f>G52+G53</f>
        <v>230.20000000000002</v>
      </c>
    </row>
    <row r="52" spans="1:7" ht="84">
      <c r="A52" s="25" t="s">
        <v>385</v>
      </c>
      <c r="B52" s="25" t="s">
        <v>43</v>
      </c>
      <c r="C52" s="43" t="s">
        <v>305</v>
      </c>
      <c r="D52" s="67" t="s">
        <v>55</v>
      </c>
      <c r="E52" s="9" t="s">
        <v>346</v>
      </c>
      <c r="F52" s="51">
        <v>242.9</v>
      </c>
      <c r="G52" s="126">
        <v>222.9</v>
      </c>
    </row>
    <row r="53" spans="1:7" ht="33.6">
      <c r="A53" s="25" t="s">
        <v>385</v>
      </c>
      <c r="B53" s="25" t="s">
        <v>43</v>
      </c>
      <c r="C53" s="43" t="s">
        <v>305</v>
      </c>
      <c r="D53" s="67" t="s">
        <v>56</v>
      </c>
      <c r="E53" s="9" t="s">
        <v>57</v>
      </c>
      <c r="F53" s="51">
        <v>10.4</v>
      </c>
      <c r="G53" s="126">
        <v>7.3</v>
      </c>
    </row>
    <row r="54" spans="1:7" ht="33.6">
      <c r="A54" s="25" t="s">
        <v>385</v>
      </c>
      <c r="B54" s="25" t="s">
        <v>43</v>
      </c>
      <c r="C54" s="3">
        <v>9900000</v>
      </c>
      <c r="D54" s="68"/>
      <c r="E54" s="24" t="s">
        <v>352</v>
      </c>
      <c r="F54" s="87">
        <f aca="true" t="shared" si="3" ref="F54:G56">F55</f>
        <v>15</v>
      </c>
      <c r="G54" s="126">
        <f t="shared" si="3"/>
        <v>15</v>
      </c>
    </row>
    <row r="55" spans="1:7" ht="12.75">
      <c r="A55" s="25" t="s">
        <v>385</v>
      </c>
      <c r="B55" s="25" t="s">
        <v>43</v>
      </c>
      <c r="C55" s="3">
        <v>9930000</v>
      </c>
      <c r="D55" s="8"/>
      <c r="E55" s="24" t="s">
        <v>408</v>
      </c>
      <c r="F55" s="87">
        <f t="shared" si="3"/>
        <v>15</v>
      </c>
      <c r="G55" s="126">
        <f t="shared" si="3"/>
        <v>15</v>
      </c>
    </row>
    <row r="56" spans="1:7" ht="12.75">
      <c r="A56" s="25" t="s">
        <v>385</v>
      </c>
      <c r="B56" s="25" t="s">
        <v>43</v>
      </c>
      <c r="C56" s="3">
        <v>9931000</v>
      </c>
      <c r="D56" s="8"/>
      <c r="E56" s="24" t="s">
        <v>167</v>
      </c>
      <c r="F56" s="87">
        <f t="shared" si="3"/>
        <v>15</v>
      </c>
      <c r="G56" s="126">
        <f t="shared" si="3"/>
        <v>15</v>
      </c>
    </row>
    <row r="57" spans="1:7" ht="12.75">
      <c r="A57" s="25" t="s">
        <v>385</v>
      </c>
      <c r="B57" s="25" t="s">
        <v>43</v>
      </c>
      <c r="C57" s="3">
        <v>9931000</v>
      </c>
      <c r="D57" s="8" t="s">
        <v>58</v>
      </c>
      <c r="E57" s="24" t="s">
        <v>59</v>
      </c>
      <c r="F57" s="87">
        <v>15</v>
      </c>
      <c r="G57" s="126">
        <v>15</v>
      </c>
    </row>
    <row r="58" spans="1:7" ht="33.6">
      <c r="A58" s="25" t="s">
        <v>385</v>
      </c>
      <c r="B58" s="25" t="s">
        <v>38</v>
      </c>
      <c r="C58" s="43"/>
      <c r="D58" s="67"/>
      <c r="E58" s="9" t="s">
        <v>4</v>
      </c>
      <c r="F58" s="51">
        <f>F59+F68</f>
        <v>8770.900000000001</v>
      </c>
      <c r="G58" s="126">
        <f>G59+G68</f>
        <v>8696.1</v>
      </c>
    </row>
    <row r="59" spans="1:7" ht="12.75">
      <c r="A59" s="25" t="s">
        <v>385</v>
      </c>
      <c r="B59" s="25" t="s">
        <v>65</v>
      </c>
      <c r="C59" s="43"/>
      <c r="D59" s="67"/>
      <c r="E59" s="9" t="s">
        <v>66</v>
      </c>
      <c r="F59" s="51">
        <f>F60</f>
        <v>2123.8</v>
      </c>
      <c r="G59" s="126">
        <f>G60</f>
        <v>2049</v>
      </c>
    </row>
    <row r="60" spans="1:7" ht="67.2">
      <c r="A60" s="25" t="s">
        <v>385</v>
      </c>
      <c r="B60" s="25" t="s">
        <v>65</v>
      </c>
      <c r="C60" s="43" t="s">
        <v>342</v>
      </c>
      <c r="D60" s="67"/>
      <c r="E60" s="23" t="s">
        <v>322</v>
      </c>
      <c r="F60" s="51">
        <f aca="true" t="shared" si="4" ref="F60:G60">F61</f>
        <v>2123.8</v>
      </c>
      <c r="G60" s="126">
        <f t="shared" si="4"/>
        <v>2049</v>
      </c>
    </row>
    <row r="61" spans="1:7" ht="12.75">
      <c r="A61" s="25" t="s">
        <v>385</v>
      </c>
      <c r="B61" s="25" t="s">
        <v>65</v>
      </c>
      <c r="C61" s="43" t="s">
        <v>344</v>
      </c>
      <c r="D61" s="67"/>
      <c r="E61" s="9" t="s">
        <v>343</v>
      </c>
      <c r="F61" s="51">
        <f>F62+F64</f>
        <v>2123.8</v>
      </c>
      <c r="G61" s="126">
        <f>G62+G64</f>
        <v>2049</v>
      </c>
    </row>
    <row r="62" spans="1:7" ht="67.2">
      <c r="A62" s="25" t="s">
        <v>385</v>
      </c>
      <c r="B62" s="25" t="s">
        <v>65</v>
      </c>
      <c r="C62" s="43" t="s">
        <v>347</v>
      </c>
      <c r="D62" s="67"/>
      <c r="E62" s="9" t="s">
        <v>64</v>
      </c>
      <c r="F62" s="51">
        <f>F63</f>
        <v>704.6</v>
      </c>
      <c r="G62" s="126">
        <f>G63</f>
        <v>629.8</v>
      </c>
    </row>
    <row r="63" spans="1:7" ht="84">
      <c r="A63" s="25" t="s">
        <v>385</v>
      </c>
      <c r="B63" s="25" t="s">
        <v>65</v>
      </c>
      <c r="C63" s="43" t="s">
        <v>347</v>
      </c>
      <c r="D63" s="67" t="s">
        <v>55</v>
      </c>
      <c r="E63" s="9" t="s">
        <v>346</v>
      </c>
      <c r="F63" s="51">
        <f>619.3+85.2+0.1</f>
        <v>704.6</v>
      </c>
      <c r="G63" s="126">
        <v>629.8</v>
      </c>
    </row>
    <row r="64" spans="1:7" ht="144.6" customHeight="1">
      <c r="A64" s="25" t="s">
        <v>385</v>
      </c>
      <c r="B64" s="25" t="s">
        <v>65</v>
      </c>
      <c r="C64" s="43" t="s">
        <v>387</v>
      </c>
      <c r="D64" s="67"/>
      <c r="E64" s="9" t="s">
        <v>388</v>
      </c>
      <c r="F64" s="51">
        <f>F65+F66+F67</f>
        <v>1419.2</v>
      </c>
      <c r="G64" s="126">
        <f>G65+G66+G67</f>
        <v>1419.1999999999998</v>
      </c>
    </row>
    <row r="65" spans="1:7" ht="84">
      <c r="A65" s="25" t="s">
        <v>385</v>
      </c>
      <c r="B65" s="25" t="s">
        <v>65</v>
      </c>
      <c r="C65" s="43" t="s">
        <v>387</v>
      </c>
      <c r="D65" s="67" t="s">
        <v>55</v>
      </c>
      <c r="E65" s="9" t="s">
        <v>346</v>
      </c>
      <c r="F65" s="51">
        <f>1138.4+50.9+15.2</f>
        <v>1204.5000000000002</v>
      </c>
      <c r="G65" s="126">
        <v>1204.5</v>
      </c>
    </row>
    <row r="66" spans="1:7" ht="33.6">
      <c r="A66" s="25" t="s">
        <v>385</v>
      </c>
      <c r="B66" s="25" t="s">
        <v>65</v>
      </c>
      <c r="C66" s="43" t="s">
        <v>387</v>
      </c>
      <c r="D66" s="67" t="s">
        <v>56</v>
      </c>
      <c r="E66" s="9" t="s">
        <v>57</v>
      </c>
      <c r="F66" s="51">
        <f>243.3+11.2-50.9</f>
        <v>203.6</v>
      </c>
      <c r="G66" s="126">
        <v>203.6</v>
      </c>
    </row>
    <row r="67" spans="1:7" ht="12.75">
      <c r="A67" s="25" t="s">
        <v>385</v>
      </c>
      <c r="B67" s="25" t="s">
        <v>65</v>
      </c>
      <c r="C67" s="43" t="s">
        <v>387</v>
      </c>
      <c r="D67" s="67" t="s">
        <v>58</v>
      </c>
      <c r="E67" s="70" t="s">
        <v>59</v>
      </c>
      <c r="F67" s="51">
        <f>22.3-11.2</f>
        <v>11.100000000000001</v>
      </c>
      <c r="G67" s="126">
        <v>11.1</v>
      </c>
    </row>
    <row r="68" spans="1:7" ht="50.4">
      <c r="A68" s="25" t="s">
        <v>385</v>
      </c>
      <c r="B68" s="25" t="s">
        <v>29</v>
      </c>
      <c r="C68" s="43"/>
      <c r="D68" s="67"/>
      <c r="E68" s="9" t="s">
        <v>380</v>
      </c>
      <c r="F68" s="51">
        <f aca="true" t="shared" si="5" ref="F68:G71">F69</f>
        <v>6647.1</v>
      </c>
      <c r="G68" s="126">
        <f t="shared" si="5"/>
        <v>6647.1</v>
      </c>
    </row>
    <row r="69" spans="1:7" ht="67.2">
      <c r="A69" s="25" t="s">
        <v>385</v>
      </c>
      <c r="B69" s="25" t="s">
        <v>29</v>
      </c>
      <c r="C69" s="43" t="s">
        <v>342</v>
      </c>
      <c r="D69" s="67"/>
      <c r="E69" s="23" t="s">
        <v>322</v>
      </c>
      <c r="F69" s="51">
        <f t="shared" si="5"/>
        <v>6647.1</v>
      </c>
      <c r="G69" s="126">
        <f t="shared" si="5"/>
        <v>6647.1</v>
      </c>
    </row>
    <row r="70" spans="1:7" ht="50.4">
      <c r="A70" s="25" t="s">
        <v>385</v>
      </c>
      <c r="B70" s="25" t="s">
        <v>29</v>
      </c>
      <c r="C70" s="43" t="s">
        <v>232</v>
      </c>
      <c r="D70" s="67"/>
      <c r="E70" s="9" t="s">
        <v>233</v>
      </c>
      <c r="F70" s="51">
        <f t="shared" si="5"/>
        <v>6647.1</v>
      </c>
      <c r="G70" s="126">
        <f t="shared" si="5"/>
        <v>6647.1</v>
      </c>
    </row>
    <row r="71" spans="1:7" ht="42.6" customHeight="1">
      <c r="A71" s="25" t="s">
        <v>385</v>
      </c>
      <c r="B71" s="25" t="s">
        <v>29</v>
      </c>
      <c r="C71" s="43" t="s">
        <v>235</v>
      </c>
      <c r="D71" s="67"/>
      <c r="E71" s="9" t="s">
        <v>234</v>
      </c>
      <c r="F71" s="51">
        <f t="shared" si="5"/>
        <v>6647.1</v>
      </c>
      <c r="G71" s="126">
        <f t="shared" si="5"/>
        <v>6647.1</v>
      </c>
    </row>
    <row r="72" spans="1:7" ht="33.6">
      <c r="A72" s="25" t="s">
        <v>385</v>
      </c>
      <c r="B72" s="25" t="s">
        <v>29</v>
      </c>
      <c r="C72" s="43" t="s">
        <v>235</v>
      </c>
      <c r="D72" s="15">
        <v>600</v>
      </c>
      <c r="E72" s="9" t="s">
        <v>87</v>
      </c>
      <c r="F72" s="51">
        <v>6647.1</v>
      </c>
      <c r="G72" s="126">
        <v>6647.1</v>
      </c>
    </row>
    <row r="73" spans="1:7" ht="12.75">
      <c r="A73" s="25" t="s">
        <v>385</v>
      </c>
      <c r="B73" s="25" t="s">
        <v>39</v>
      </c>
      <c r="C73" s="43"/>
      <c r="D73" s="15"/>
      <c r="E73" s="9" t="s">
        <v>5</v>
      </c>
      <c r="F73" s="51">
        <f>F74+F92</f>
        <v>43118.99999999999</v>
      </c>
      <c r="G73" s="126">
        <f>G74+G92</f>
        <v>42059.700000000004</v>
      </c>
    </row>
    <row r="74" spans="1:7" ht="12.75">
      <c r="A74" s="25" t="s">
        <v>385</v>
      </c>
      <c r="B74" s="25" t="s">
        <v>365</v>
      </c>
      <c r="C74" s="43"/>
      <c r="D74" s="15"/>
      <c r="E74" s="19" t="s">
        <v>366</v>
      </c>
      <c r="F74" s="51">
        <f>F75</f>
        <v>42861.399999999994</v>
      </c>
      <c r="G74" s="126">
        <f>G75</f>
        <v>41803.3</v>
      </c>
    </row>
    <row r="75" spans="1:7" ht="67.2">
      <c r="A75" s="25" t="s">
        <v>385</v>
      </c>
      <c r="B75" s="25" t="s">
        <v>365</v>
      </c>
      <c r="C75" s="43" t="s">
        <v>236</v>
      </c>
      <c r="D75" s="15"/>
      <c r="E75" s="9" t="s">
        <v>237</v>
      </c>
      <c r="F75" s="51">
        <f>F76+F89</f>
        <v>42861.399999999994</v>
      </c>
      <c r="G75" s="126">
        <f>G76+G89</f>
        <v>41803.3</v>
      </c>
    </row>
    <row r="76" spans="1:7" ht="50.4">
      <c r="A76" s="25" t="s">
        <v>385</v>
      </c>
      <c r="B76" s="25" t="s">
        <v>365</v>
      </c>
      <c r="C76" s="43" t="s">
        <v>238</v>
      </c>
      <c r="D76" s="15"/>
      <c r="E76" s="9" t="s">
        <v>239</v>
      </c>
      <c r="F76" s="51">
        <f>F77+F81+F83+F79+F87+F85</f>
        <v>42442.7</v>
      </c>
      <c r="G76" s="126">
        <f>G77+G81+G83+G79+G87+G85</f>
        <v>41384.600000000006</v>
      </c>
    </row>
    <row r="77" spans="1:7" ht="67.2">
      <c r="A77" s="25" t="s">
        <v>385</v>
      </c>
      <c r="B77" s="25" t="s">
        <v>365</v>
      </c>
      <c r="C77" s="43" t="s">
        <v>240</v>
      </c>
      <c r="D77" s="15"/>
      <c r="E77" s="9" t="s">
        <v>241</v>
      </c>
      <c r="F77" s="51">
        <f>F78</f>
        <v>16184.199999999999</v>
      </c>
      <c r="G77" s="126">
        <f>G78</f>
        <v>15126.1</v>
      </c>
    </row>
    <row r="78" spans="1:7" ht="33.6">
      <c r="A78" s="25" t="s">
        <v>385</v>
      </c>
      <c r="B78" s="25" t="s">
        <v>365</v>
      </c>
      <c r="C78" s="43" t="s">
        <v>240</v>
      </c>
      <c r="D78" s="67" t="s">
        <v>56</v>
      </c>
      <c r="E78" s="9" t="s">
        <v>57</v>
      </c>
      <c r="F78" s="51">
        <f>12429.4-4103.2-33.5+1240.8+5029.8+1620.9</f>
        <v>16184.199999999999</v>
      </c>
      <c r="G78" s="126">
        <v>15126.1</v>
      </c>
    </row>
    <row r="79" spans="1:7" s="74" customFormat="1" ht="50.4">
      <c r="A79" s="25" t="s">
        <v>385</v>
      </c>
      <c r="B79" s="25" t="s">
        <v>365</v>
      </c>
      <c r="C79" s="11" t="s">
        <v>395</v>
      </c>
      <c r="D79" s="67"/>
      <c r="E79" s="9" t="s">
        <v>396</v>
      </c>
      <c r="F79" s="61">
        <f>F80</f>
        <v>203.5</v>
      </c>
      <c r="G79" s="126">
        <f>G80</f>
        <v>203.5</v>
      </c>
    </row>
    <row r="80" spans="1:7" s="74" customFormat="1" ht="33.6">
      <c r="A80" s="25" t="s">
        <v>385</v>
      </c>
      <c r="B80" s="25" t="s">
        <v>365</v>
      </c>
      <c r="C80" s="11" t="s">
        <v>395</v>
      </c>
      <c r="D80" s="67" t="s">
        <v>56</v>
      </c>
      <c r="E80" s="9" t="s">
        <v>57</v>
      </c>
      <c r="F80" s="61">
        <f>2000-1796.5</f>
        <v>203.5</v>
      </c>
      <c r="G80" s="126">
        <v>203.5</v>
      </c>
    </row>
    <row r="81" spans="1:7" ht="50.4">
      <c r="A81" s="25" t="s">
        <v>385</v>
      </c>
      <c r="B81" s="25" t="s">
        <v>365</v>
      </c>
      <c r="C81" s="43" t="s">
        <v>75</v>
      </c>
      <c r="D81" s="67"/>
      <c r="E81" s="9" t="s">
        <v>323</v>
      </c>
      <c r="F81" s="51">
        <f>F82</f>
        <v>2370.0999999999995</v>
      </c>
      <c r="G81" s="126">
        <f>G82</f>
        <v>2370.1</v>
      </c>
    </row>
    <row r="82" spans="1:7" ht="33.6">
      <c r="A82" s="25" t="s">
        <v>385</v>
      </c>
      <c r="B82" s="25" t="s">
        <v>365</v>
      </c>
      <c r="C82" s="43" t="s">
        <v>75</v>
      </c>
      <c r="D82" s="67" t="s">
        <v>56</v>
      </c>
      <c r="E82" s="9" t="s">
        <v>57</v>
      </c>
      <c r="F82" s="51">
        <f>4347.9-1977.8</f>
        <v>2370.0999999999995</v>
      </c>
      <c r="G82" s="126">
        <v>2370.1</v>
      </c>
    </row>
    <row r="83" spans="1:7" ht="50.4">
      <c r="A83" s="25" t="s">
        <v>385</v>
      </c>
      <c r="B83" s="25" t="s">
        <v>365</v>
      </c>
      <c r="C83" s="43" t="s">
        <v>328</v>
      </c>
      <c r="D83" s="67"/>
      <c r="E83" s="9" t="s">
        <v>329</v>
      </c>
      <c r="F83" s="51">
        <f>F84</f>
        <v>3205.7</v>
      </c>
      <c r="G83" s="126">
        <f>G84</f>
        <v>3205.7</v>
      </c>
    </row>
    <row r="84" spans="1:7" ht="33.6">
      <c r="A84" s="25" t="s">
        <v>385</v>
      </c>
      <c r="B84" s="25" t="s">
        <v>365</v>
      </c>
      <c r="C84" s="43" t="s">
        <v>328</v>
      </c>
      <c r="D84" s="67" t="s">
        <v>56</v>
      </c>
      <c r="E84" s="9" t="s">
        <v>57</v>
      </c>
      <c r="F84" s="51">
        <v>3205.7</v>
      </c>
      <c r="G84" s="126">
        <v>3205.7</v>
      </c>
    </row>
    <row r="85" spans="1:7" ht="50.4">
      <c r="A85" s="25" t="s">
        <v>385</v>
      </c>
      <c r="B85" s="25" t="s">
        <v>365</v>
      </c>
      <c r="C85" s="11" t="s">
        <v>413</v>
      </c>
      <c r="D85" s="67"/>
      <c r="E85" s="9" t="s">
        <v>415</v>
      </c>
      <c r="F85" s="51">
        <f>F86</f>
        <v>11774.2</v>
      </c>
      <c r="G85" s="126">
        <f>G86</f>
        <v>11774.2</v>
      </c>
    </row>
    <row r="86" spans="1:7" ht="33.6">
      <c r="A86" s="25" t="s">
        <v>385</v>
      </c>
      <c r="B86" s="25" t="s">
        <v>365</v>
      </c>
      <c r="C86" s="11" t="s">
        <v>413</v>
      </c>
      <c r="D86" s="67" t="s">
        <v>56</v>
      </c>
      <c r="E86" s="9" t="s">
        <v>57</v>
      </c>
      <c r="F86" s="51">
        <f>13229.5-1455.3</f>
        <v>11774.2</v>
      </c>
      <c r="G86" s="126">
        <v>11774.2</v>
      </c>
    </row>
    <row r="87" spans="1:7" ht="67.2">
      <c r="A87" s="25" t="s">
        <v>385</v>
      </c>
      <c r="B87" s="25" t="s">
        <v>365</v>
      </c>
      <c r="C87" s="11" t="s">
        <v>401</v>
      </c>
      <c r="D87" s="67"/>
      <c r="E87" s="9" t="s">
        <v>405</v>
      </c>
      <c r="F87" s="51">
        <f>F88</f>
        <v>8705</v>
      </c>
      <c r="G87" s="126">
        <f>G88</f>
        <v>8705</v>
      </c>
    </row>
    <row r="88" spans="1:7" ht="33.6">
      <c r="A88" s="25" t="s">
        <v>385</v>
      </c>
      <c r="B88" s="25" t="s">
        <v>365</v>
      </c>
      <c r="C88" s="11" t="s">
        <v>401</v>
      </c>
      <c r="D88" s="67" t="s">
        <v>56</v>
      </c>
      <c r="E88" s="9" t="s">
        <v>57</v>
      </c>
      <c r="F88" s="51">
        <f>10906.3-2201.3</f>
        <v>8705</v>
      </c>
      <c r="G88" s="126">
        <v>8705</v>
      </c>
    </row>
    <row r="89" spans="1:7" ht="50.4">
      <c r="A89" s="25" t="s">
        <v>385</v>
      </c>
      <c r="B89" s="25" t="s">
        <v>365</v>
      </c>
      <c r="C89" s="93" t="s">
        <v>445</v>
      </c>
      <c r="D89" s="67"/>
      <c r="E89" s="9" t="s">
        <v>446</v>
      </c>
      <c r="F89" s="92">
        <f>F90</f>
        <v>418.70000000000005</v>
      </c>
      <c r="G89" s="126">
        <f>G90</f>
        <v>418.7</v>
      </c>
    </row>
    <row r="90" spans="1:7" ht="33.6">
      <c r="A90" s="25" t="s">
        <v>385</v>
      </c>
      <c r="B90" s="25" t="s">
        <v>365</v>
      </c>
      <c r="C90" s="11" t="s">
        <v>447</v>
      </c>
      <c r="D90" s="67"/>
      <c r="E90" s="9" t="s">
        <v>419</v>
      </c>
      <c r="F90" s="61">
        <f>F91</f>
        <v>418.70000000000005</v>
      </c>
      <c r="G90" s="126">
        <f>G91</f>
        <v>418.7</v>
      </c>
    </row>
    <row r="91" spans="1:7" ht="33.6">
      <c r="A91" s="25" t="s">
        <v>385</v>
      </c>
      <c r="B91" s="25" t="s">
        <v>365</v>
      </c>
      <c r="C91" s="11" t="s">
        <v>447</v>
      </c>
      <c r="D91" s="67" t="s">
        <v>56</v>
      </c>
      <c r="E91" s="9" t="s">
        <v>57</v>
      </c>
      <c r="F91" s="61">
        <f>495.8-77.1</f>
        <v>418.70000000000005</v>
      </c>
      <c r="G91" s="126">
        <v>418.7</v>
      </c>
    </row>
    <row r="92" spans="1:7" ht="12.75">
      <c r="A92" s="25" t="s">
        <v>385</v>
      </c>
      <c r="B92" s="25" t="s">
        <v>30</v>
      </c>
      <c r="C92" s="43"/>
      <c r="D92" s="15"/>
      <c r="E92" s="9" t="s">
        <v>6</v>
      </c>
      <c r="F92" s="51">
        <f>F93</f>
        <v>257.6</v>
      </c>
      <c r="G92" s="126">
        <f>G93</f>
        <v>256.4</v>
      </c>
    </row>
    <row r="93" spans="1:7" ht="67.2">
      <c r="A93" s="25" t="s">
        <v>385</v>
      </c>
      <c r="B93" s="25" t="s">
        <v>30</v>
      </c>
      <c r="C93" s="43" t="s">
        <v>242</v>
      </c>
      <c r="D93" s="15"/>
      <c r="E93" s="9" t="s">
        <v>243</v>
      </c>
      <c r="F93" s="51">
        <f>F94+F99</f>
        <v>257.6</v>
      </c>
      <c r="G93" s="126">
        <f>G94+G99</f>
        <v>256.4</v>
      </c>
    </row>
    <row r="94" spans="1:7" ht="50.4">
      <c r="A94" s="25" t="s">
        <v>385</v>
      </c>
      <c r="B94" s="25" t="s">
        <v>30</v>
      </c>
      <c r="C94" s="43" t="s">
        <v>245</v>
      </c>
      <c r="D94" s="15"/>
      <c r="E94" s="9" t="s">
        <v>244</v>
      </c>
      <c r="F94" s="51">
        <f>F95+F97</f>
        <v>150</v>
      </c>
      <c r="G94" s="126">
        <f>G95+G97</f>
        <v>148.8</v>
      </c>
    </row>
    <row r="95" spans="1:7" ht="33.6">
      <c r="A95" s="25" t="s">
        <v>385</v>
      </c>
      <c r="B95" s="25" t="s">
        <v>30</v>
      </c>
      <c r="C95" s="8" t="s">
        <v>247</v>
      </c>
      <c r="D95" s="8"/>
      <c r="E95" s="56" t="s">
        <v>246</v>
      </c>
      <c r="F95" s="51">
        <f>F96</f>
        <v>120</v>
      </c>
      <c r="G95" s="126">
        <f>G96</f>
        <v>118.8</v>
      </c>
    </row>
    <row r="96" spans="1:7" ht="33.6">
      <c r="A96" s="25" t="s">
        <v>385</v>
      </c>
      <c r="B96" s="25" t="s">
        <v>30</v>
      </c>
      <c r="C96" s="8" t="s">
        <v>247</v>
      </c>
      <c r="D96" s="67" t="s">
        <v>56</v>
      </c>
      <c r="E96" s="9" t="s">
        <v>57</v>
      </c>
      <c r="F96" s="51">
        <v>120</v>
      </c>
      <c r="G96" s="126">
        <v>118.8</v>
      </c>
    </row>
    <row r="97" spans="1:7" ht="50.4">
      <c r="A97" s="25" t="s">
        <v>385</v>
      </c>
      <c r="B97" s="25" t="s">
        <v>30</v>
      </c>
      <c r="C97" s="8" t="s">
        <v>249</v>
      </c>
      <c r="D97" s="8"/>
      <c r="E97" s="56" t="s">
        <v>248</v>
      </c>
      <c r="F97" s="51">
        <f>F98</f>
        <v>30</v>
      </c>
      <c r="G97" s="126">
        <f>G98</f>
        <v>30</v>
      </c>
    </row>
    <row r="98" spans="1:7" ht="33.6">
      <c r="A98" s="25" t="s">
        <v>385</v>
      </c>
      <c r="B98" s="25" t="s">
        <v>30</v>
      </c>
      <c r="C98" s="8" t="s">
        <v>249</v>
      </c>
      <c r="D98" s="67" t="s">
        <v>56</v>
      </c>
      <c r="E98" s="9" t="s">
        <v>57</v>
      </c>
      <c r="F98" s="51">
        <v>30</v>
      </c>
      <c r="G98" s="126">
        <v>30</v>
      </c>
    </row>
    <row r="99" spans="1:7" ht="33.6">
      <c r="A99" s="25" t="s">
        <v>385</v>
      </c>
      <c r="B99" s="25" t="s">
        <v>30</v>
      </c>
      <c r="C99" s="8" t="s">
        <v>250</v>
      </c>
      <c r="D99" s="8"/>
      <c r="E99" s="56" t="s">
        <v>251</v>
      </c>
      <c r="F99" s="51">
        <f>F100+F102</f>
        <v>107.60000000000001</v>
      </c>
      <c r="G99" s="126">
        <f>G100+G102</f>
        <v>107.6</v>
      </c>
    </row>
    <row r="100" spans="1:7" ht="33.6">
      <c r="A100" s="25" t="s">
        <v>385</v>
      </c>
      <c r="B100" s="25" t="s">
        <v>30</v>
      </c>
      <c r="C100" s="8" t="s">
        <v>252</v>
      </c>
      <c r="D100" s="8"/>
      <c r="E100" s="56" t="s">
        <v>253</v>
      </c>
      <c r="F100" s="51">
        <f>F101</f>
        <v>5</v>
      </c>
      <c r="G100" s="126">
        <f>G101</f>
        <v>5</v>
      </c>
    </row>
    <row r="101" spans="1:7" ht="33.6">
      <c r="A101" s="25" t="s">
        <v>385</v>
      </c>
      <c r="B101" s="25" t="s">
        <v>30</v>
      </c>
      <c r="C101" s="8" t="s">
        <v>252</v>
      </c>
      <c r="D101" s="67" t="s">
        <v>56</v>
      </c>
      <c r="E101" s="9" t="s">
        <v>57</v>
      </c>
      <c r="F101" s="51">
        <v>5</v>
      </c>
      <c r="G101" s="126">
        <v>5</v>
      </c>
    </row>
    <row r="102" spans="1:7" ht="50.4">
      <c r="A102" s="25" t="s">
        <v>385</v>
      </c>
      <c r="B102" s="25" t="s">
        <v>30</v>
      </c>
      <c r="C102" s="8" t="s">
        <v>255</v>
      </c>
      <c r="D102" s="8"/>
      <c r="E102" s="56" t="s">
        <v>254</v>
      </c>
      <c r="F102" s="51">
        <f>F103</f>
        <v>102.60000000000001</v>
      </c>
      <c r="G102" s="126">
        <f>G103</f>
        <v>102.6</v>
      </c>
    </row>
    <row r="103" spans="1:7" ht="12.75">
      <c r="A103" s="25" t="s">
        <v>385</v>
      </c>
      <c r="B103" s="25" t="s">
        <v>30</v>
      </c>
      <c r="C103" s="8" t="s">
        <v>255</v>
      </c>
      <c r="D103" s="67" t="s">
        <v>58</v>
      </c>
      <c r="E103" s="70" t="s">
        <v>59</v>
      </c>
      <c r="F103" s="51">
        <f>100.2+2.4</f>
        <v>102.60000000000001</v>
      </c>
      <c r="G103" s="126">
        <v>102.6</v>
      </c>
    </row>
    <row r="104" spans="1:7" ht="12.75">
      <c r="A104" s="25" t="s">
        <v>385</v>
      </c>
      <c r="B104" s="25" t="s">
        <v>40</v>
      </c>
      <c r="C104" s="8"/>
      <c r="D104" s="8"/>
      <c r="E104" s="56" t="s">
        <v>7</v>
      </c>
      <c r="F104" s="51">
        <f>F105+F114+F126</f>
        <v>37568</v>
      </c>
      <c r="G104" s="126">
        <f>G105+G114+G126</f>
        <v>32485.300000000003</v>
      </c>
    </row>
    <row r="105" spans="1:7" ht="12.75">
      <c r="A105" s="25" t="s">
        <v>385</v>
      </c>
      <c r="B105" s="25" t="s">
        <v>363</v>
      </c>
      <c r="C105" s="8"/>
      <c r="D105" s="8"/>
      <c r="E105" s="56" t="s">
        <v>364</v>
      </c>
      <c r="F105" s="51">
        <f aca="true" t="shared" si="6" ref="F105:G106">F106</f>
        <v>18848.1</v>
      </c>
      <c r="G105" s="126">
        <f t="shared" si="6"/>
        <v>18805.4</v>
      </c>
    </row>
    <row r="106" spans="1:7" ht="67.2">
      <c r="A106" s="25" t="s">
        <v>385</v>
      </c>
      <c r="B106" s="25" t="s">
        <v>363</v>
      </c>
      <c r="C106" s="8" t="s">
        <v>175</v>
      </c>
      <c r="D106" s="8"/>
      <c r="E106" s="56" t="s">
        <v>173</v>
      </c>
      <c r="F106" s="51">
        <f t="shared" si="6"/>
        <v>18848.1</v>
      </c>
      <c r="G106" s="126">
        <f t="shared" si="6"/>
        <v>18805.4</v>
      </c>
    </row>
    <row r="107" spans="1:7" ht="67.2">
      <c r="A107" s="25" t="s">
        <v>385</v>
      </c>
      <c r="B107" s="25" t="s">
        <v>363</v>
      </c>
      <c r="C107" s="8" t="s">
        <v>265</v>
      </c>
      <c r="D107" s="8"/>
      <c r="E107" s="56" t="s">
        <v>263</v>
      </c>
      <c r="F107" s="51">
        <f>F112+F108+F110</f>
        <v>18848.1</v>
      </c>
      <c r="G107" s="126">
        <f>G112+G108+G110</f>
        <v>18805.4</v>
      </c>
    </row>
    <row r="108" spans="1:7" ht="100.8">
      <c r="A108" s="25" t="s">
        <v>385</v>
      </c>
      <c r="B108" s="25" t="s">
        <v>363</v>
      </c>
      <c r="C108" s="8" t="s">
        <v>324</v>
      </c>
      <c r="D108" s="8"/>
      <c r="E108" s="56" t="s">
        <v>326</v>
      </c>
      <c r="F108" s="51">
        <f>F109</f>
        <v>5673.8</v>
      </c>
      <c r="G108" s="126">
        <f>G109</f>
        <v>5654.1</v>
      </c>
    </row>
    <row r="109" spans="1:7" ht="50.4">
      <c r="A109" s="25" t="s">
        <v>385</v>
      </c>
      <c r="B109" s="25" t="s">
        <v>363</v>
      </c>
      <c r="C109" s="8" t="s">
        <v>324</v>
      </c>
      <c r="D109" s="25" t="s">
        <v>60</v>
      </c>
      <c r="E109" s="9" t="s">
        <v>200</v>
      </c>
      <c r="F109" s="51">
        <f>495.1+5178.7</f>
        <v>5673.8</v>
      </c>
      <c r="G109" s="126">
        <v>5654.1</v>
      </c>
    </row>
    <row r="110" spans="1:7" ht="67.2">
      <c r="A110" s="25" t="s">
        <v>385</v>
      </c>
      <c r="B110" s="25" t="s">
        <v>363</v>
      </c>
      <c r="C110" s="8" t="s">
        <v>325</v>
      </c>
      <c r="D110" s="8"/>
      <c r="E110" s="56" t="s">
        <v>327</v>
      </c>
      <c r="F110" s="51">
        <f>F111</f>
        <v>6640.599999999999</v>
      </c>
      <c r="G110" s="126">
        <f>G111</f>
        <v>6617.6</v>
      </c>
    </row>
    <row r="111" spans="1:7" ht="50.4">
      <c r="A111" s="25" t="s">
        <v>385</v>
      </c>
      <c r="B111" s="25" t="s">
        <v>363</v>
      </c>
      <c r="C111" s="8" t="s">
        <v>325</v>
      </c>
      <c r="D111" s="25" t="s">
        <v>60</v>
      </c>
      <c r="E111" s="9" t="s">
        <v>200</v>
      </c>
      <c r="F111" s="51">
        <f>579.4+6061.2</f>
        <v>6640.599999999999</v>
      </c>
      <c r="G111" s="126">
        <v>6617.6</v>
      </c>
    </row>
    <row r="112" spans="1:7" ht="67.2">
      <c r="A112" s="25" t="s">
        <v>385</v>
      </c>
      <c r="B112" s="25" t="s">
        <v>363</v>
      </c>
      <c r="C112" s="8" t="s">
        <v>313</v>
      </c>
      <c r="D112" s="8"/>
      <c r="E112" s="56" t="s">
        <v>264</v>
      </c>
      <c r="F112" s="51">
        <f>F113</f>
        <v>6533.7</v>
      </c>
      <c r="G112" s="126">
        <f>G113</f>
        <v>6533.7</v>
      </c>
    </row>
    <row r="113" spans="1:7" ht="50.4">
      <c r="A113" s="25" t="s">
        <v>385</v>
      </c>
      <c r="B113" s="25" t="s">
        <v>363</v>
      </c>
      <c r="C113" s="8" t="s">
        <v>313</v>
      </c>
      <c r="D113" s="25" t="s">
        <v>60</v>
      </c>
      <c r="E113" s="9" t="s">
        <v>200</v>
      </c>
      <c r="F113" s="51">
        <f>6491+42.7</f>
        <v>6533.7</v>
      </c>
      <c r="G113" s="126">
        <v>6533.7</v>
      </c>
    </row>
    <row r="114" spans="1:7" ht="12.75">
      <c r="A114" s="25" t="s">
        <v>385</v>
      </c>
      <c r="B114" s="25" t="s">
        <v>31</v>
      </c>
      <c r="C114" s="8"/>
      <c r="D114" s="8"/>
      <c r="E114" s="10" t="s">
        <v>8</v>
      </c>
      <c r="F114" s="51">
        <f>F115</f>
        <v>4553.2</v>
      </c>
      <c r="G114" s="126">
        <f>G115</f>
        <v>710.9000000000001</v>
      </c>
    </row>
    <row r="115" spans="1:7" ht="58.2" customHeight="1">
      <c r="A115" s="25" t="s">
        <v>385</v>
      </c>
      <c r="B115" s="25" t="s">
        <v>31</v>
      </c>
      <c r="C115" s="8" t="s">
        <v>266</v>
      </c>
      <c r="D115" s="8"/>
      <c r="E115" s="56" t="s">
        <v>262</v>
      </c>
      <c r="F115" s="51">
        <f>F116+F123</f>
        <v>4553.2</v>
      </c>
      <c r="G115" s="126">
        <f>G116+G123</f>
        <v>710.9000000000001</v>
      </c>
    </row>
    <row r="116" spans="1:7" ht="50.4">
      <c r="A116" s="25" t="s">
        <v>385</v>
      </c>
      <c r="B116" s="25" t="s">
        <v>31</v>
      </c>
      <c r="C116" s="16" t="s">
        <v>267</v>
      </c>
      <c r="D116" s="16"/>
      <c r="E116" s="30" t="s">
        <v>268</v>
      </c>
      <c r="F116" s="51">
        <f>F119+F121+F117</f>
        <v>2670.8999999999996</v>
      </c>
      <c r="G116" s="126">
        <f>G119+G121+G117</f>
        <v>710.9000000000001</v>
      </c>
    </row>
    <row r="117" spans="1:7" ht="33.6">
      <c r="A117" s="25" t="s">
        <v>385</v>
      </c>
      <c r="B117" s="25" t="s">
        <v>31</v>
      </c>
      <c r="C117" s="16" t="s">
        <v>426</v>
      </c>
      <c r="D117" s="16"/>
      <c r="E117" s="30" t="s">
        <v>427</v>
      </c>
      <c r="F117" s="51">
        <f>F118</f>
        <v>1960</v>
      </c>
      <c r="G117" s="126">
        <f>G118</f>
        <v>0</v>
      </c>
    </row>
    <row r="118" spans="1:7" ht="33.6">
      <c r="A118" s="25" t="s">
        <v>385</v>
      </c>
      <c r="B118" s="25" t="s">
        <v>31</v>
      </c>
      <c r="C118" s="16" t="s">
        <v>426</v>
      </c>
      <c r="D118" s="67" t="s">
        <v>56</v>
      </c>
      <c r="E118" s="9" t="s">
        <v>57</v>
      </c>
      <c r="F118" s="51">
        <f>2000-40</f>
        <v>1960</v>
      </c>
      <c r="G118" s="126">
        <v>0</v>
      </c>
    </row>
    <row r="119" spans="1:7" ht="50.4">
      <c r="A119" s="25" t="s">
        <v>385</v>
      </c>
      <c r="B119" s="25" t="s">
        <v>31</v>
      </c>
      <c r="C119" s="16" t="s">
        <v>76</v>
      </c>
      <c r="D119" s="16"/>
      <c r="E119" s="30" t="s">
        <v>269</v>
      </c>
      <c r="F119" s="51">
        <f>F120</f>
        <v>115.19999999999982</v>
      </c>
      <c r="G119" s="126">
        <f>G120</f>
        <v>115.2</v>
      </c>
    </row>
    <row r="120" spans="1:7" ht="50.4">
      <c r="A120" s="25" t="s">
        <v>385</v>
      </c>
      <c r="B120" s="25" t="s">
        <v>31</v>
      </c>
      <c r="C120" s="16" t="s">
        <v>76</v>
      </c>
      <c r="D120" s="25" t="s">
        <v>60</v>
      </c>
      <c r="E120" s="9" t="s">
        <v>200</v>
      </c>
      <c r="F120" s="51">
        <f>4753.8-4638.6</f>
        <v>115.19999999999982</v>
      </c>
      <c r="G120" s="126">
        <v>115.2</v>
      </c>
    </row>
    <row r="121" spans="1:7" ht="84">
      <c r="A121" s="25" t="s">
        <v>385</v>
      </c>
      <c r="B121" s="25" t="s">
        <v>31</v>
      </c>
      <c r="C121" s="8" t="s">
        <v>403</v>
      </c>
      <c r="D121" s="25"/>
      <c r="E121" s="9" t="s">
        <v>404</v>
      </c>
      <c r="F121" s="51">
        <f>F122</f>
        <v>595.7</v>
      </c>
      <c r="G121" s="126">
        <f>G122</f>
        <v>595.7</v>
      </c>
    </row>
    <row r="122" spans="1:7" ht="50.4">
      <c r="A122" s="25" t="s">
        <v>385</v>
      </c>
      <c r="B122" s="25" t="s">
        <v>31</v>
      </c>
      <c r="C122" s="8" t="s">
        <v>403</v>
      </c>
      <c r="D122" s="25" t="s">
        <v>60</v>
      </c>
      <c r="E122" s="9" t="s">
        <v>200</v>
      </c>
      <c r="F122" s="51">
        <v>595.7</v>
      </c>
      <c r="G122" s="126">
        <v>595.7</v>
      </c>
    </row>
    <row r="123" spans="1:7" ht="33.6">
      <c r="A123" s="25" t="s">
        <v>385</v>
      </c>
      <c r="B123" s="25" t="s">
        <v>31</v>
      </c>
      <c r="C123" s="16" t="s">
        <v>270</v>
      </c>
      <c r="D123" s="16"/>
      <c r="E123" s="30" t="s">
        <v>271</v>
      </c>
      <c r="F123" s="51">
        <f>F124</f>
        <v>1882.3</v>
      </c>
      <c r="G123" s="126">
        <f>G124</f>
        <v>0</v>
      </c>
    </row>
    <row r="124" spans="1:7" ht="50.4">
      <c r="A124" s="25" t="s">
        <v>385</v>
      </c>
      <c r="B124" s="25" t="s">
        <v>31</v>
      </c>
      <c r="C124" s="8" t="s">
        <v>414</v>
      </c>
      <c r="D124" s="67"/>
      <c r="E124" s="56" t="s">
        <v>416</v>
      </c>
      <c r="F124" s="61">
        <f>F125</f>
        <v>1882.3</v>
      </c>
      <c r="G124" s="126">
        <f>G125</f>
        <v>0</v>
      </c>
    </row>
    <row r="125" spans="1:7" ht="50.4">
      <c r="A125" s="25" t="s">
        <v>385</v>
      </c>
      <c r="B125" s="25" t="s">
        <v>31</v>
      </c>
      <c r="C125" s="8" t="s">
        <v>414</v>
      </c>
      <c r="D125" s="67">
        <v>400</v>
      </c>
      <c r="E125" s="9" t="s">
        <v>200</v>
      </c>
      <c r="F125" s="61">
        <v>1882.3</v>
      </c>
      <c r="G125" s="126">
        <v>0</v>
      </c>
    </row>
    <row r="126" spans="1:7" ht="12.75">
      <c r="A126" s="25" t="s">
        <v>385</v>
      </c>
      <c r="B126" s="25" t="s">
        <v>32</v>
      </c>
      <c r="C126" s="8"/>
      <c r="D126" s="15"/>
      <c r="E126" s="9" t="s">
        <v>9</v>
      </c>
      <c r="F126" s="51">
        <f>F127+F137</f>
        <v>14166.7</v>
      </c>
      <c r="G126" s="126">
        <f>G127+G137</f>
        <v>12969.000000000002</v>
      </c>
    </row>
    <row r="127" spans="1:7" ht="55.2" customHeight="1">
      <c r="A127" s="25" t="s">
        <v>385</v>
      </c>
      <c r="B127" s="25" t="s">
        <v>32</v>
      </c>
      <c r="C127" s="8" t="s">
        <v>266</v>
      </c>
      <c r="D127" s="8"/>
      <c r="E127" s="56" t="s">
        <v>262</v>
      </c>
      <c r="F127" s="51">
        <f>F128</f>
        <v>13600</v>
      </c>
      <c r="G127" s="126">
        <f>G128</f>
        <v>12402.300000000001</v>
      </c>
    </row>
    <row r="128" spans="1:7" ht="50.4">
      <c r="A128" s="25" t="s">
        <v>385</v>
      </c>
      <c r="B128" s="25" t="s">
        <v>32</v>
      </c>
      <c r="C128" s="8" t="s">
        <v>272</v>
      </c>
      <c r="D128" s="8"/>
      <c r="E128" s="56" t="s">
        <v>273</v>
      </c>
      <c r="F128" s="51">
        <f>F129+F131+F133+F135</f>
        <v>13600</v>
      </c>
      <c r="G128" s="126">
        <f>G129+G131+G133+G135</f>
        <v>12402.300000000001</v>
      </c>
    </row>
    <row r="129" spans="1:7" ht="12.75">
      <c r="A129" s="25" t="s">
        <v>385</v>
      </c>
      <c r="B129" s="25" t="s">
        <v>32</v>
      </c>
      <c r="C129" s="8" t="s">
        <v>274</v>
      </c>
      <c r="D129" s="8"/>
      <c r="E129" s="56" t="s">
        <v>275</v>
      </c>
      <c r="F129" s="51">
        <f>F130</f>
        <v>9939.199999999999</v>
      </c>
      <c r="G129" s="126">
        <f>G130</f>
        <v>8741.8</v>
      </c>
    </row>
    <row r="130" spans="1:7" ht="33.6">
      <c r="A130" s="25" t="s">
        <v>385</v>
      </c>
      <c r="B130" s="25" t="s">
        <v>32</v>
      </c>
      <c r="C130" s="8" t="s">
        <v>274</v>
      </c>
      <c r="D130" s="8" t="s">
        <v>56</v>
      </c>
      <c r="E130" s="56" t="s">
        <v>57</v>
      </c>
      <c r="F130" s="51">
        <f>11378.3-244.7-1194.4</f>
        <v>9939.199999999999</v>
      </c>
      <c r="G130" s="126">
        <v>8741.8</v>
      </c>
    </row>
    <row r="131" spans="1:7" ht="12.75">
      <c r="A131" s="25" t="s">
        <v>385</v>
      </c>
      <c r="B131" s="25" t="s">
        <v>32</v>
      </c>
      <c r="C131" s="8" t="s">
        <v>276</v>
      </c>
      <c r="D131" s="8"/>
      <c r="E131" s="56" t="s">
        <v>277</v>
      </c>
      <c r="F131" s="51">
        <f>F132</f>
        <v>3194.4</v>
      </c>
      <c r="G131" s="126">
        <f>G132</f>
        <v>3194.1</v>
      </c>
    </row>
    <row r="132" spans="1:7" ht="33.6">
      <c r="A132" s="25" t="s">
        <v>385</v>
      </c>
      <c r="B132" s="25" t="s">
        <v>32</v>
      </c>
      <c r="C132" s="8" t="s">
        <v>276</v>
      </c>
      <c r="D132" s="8" t="s">
        <v>56</v>
      </c>
      <c r="E132" s="56" t="s">
        <v>57</v>
      </c>
      <c r="F132" s="51">
        <f>2444.4+750</f>
        <v>3194.4</v>
      </c>
      <c r="G132" s="126">
        <v>3194.1</v>
      </c>
    </row>
    <row r="133" spans="1:7" ht="33.6">
      <c r="A133" s="25" t="s">
        <v>385</v>
      </c>
      <c r="B133" s="25" t="s">
        <v>32</v>
      </c>
      <c r="C133" s="8" t="s">
        <v>278</v>
      </c>
      <c r="D133" s="8"/>
      <c r="E133" s="56" t="s">
        <v>279</v>
      </c>
      <c r="F133" s="51">
        <f>F134</f>
        <v>247.7</v>
      </c>
      <c r="G133" s="126">
        <f>G134</f>
        <v>247.7</v>
      </c>
    </row>
    <row r="134" spans="1:7" ht="33.6">
      <c r="A134" s="25" t="s">
        <v>385</v>
      </c>
      <c r="B134" s="25" t="s">
        <v>32</v>
      </c>
      <c r="C134" s="8" t="s">
        <v>278</v>
      </c>
      <c r="D134" s="8" t="s">
        <v>56</v>
      </c>
      <c r="E134" s="56" t="s">
        <v>57</v>
      </c>
      <c r="F134" s="51">
        <f>250.2-2.5</f>
        <v>247.7</v>
      </c>
      <c r="G134" s="126">
        <v>247.7</v>
      </c>
    </row>
    <row r="135" spans="1:7" ht="45" customHeight="1">
      <c r="A135" s="25" t="s">
        <v>385</v>
      </c>
      <c r="B135" s="25" t="s">
        <v>32</v>
      </c>
      <c r="C135" s="8" t="s">
        <v>280</v>
      </c>
      <c r="D135" s="8"/>
      <c r="E135" s="56" t="s">
        <v>281</v>
      </c>
      <c r="F135" s="51">
        <f>F136</f>
        <v>218.7</v>
      </c>
      <c r="G135" s="126">
        <f>G136</f>
        <v>218.7</v>
      </c>
    </row>
    <row r="136" spans="1:7" ht="33.6">
      <c r="A136" s="25" t="s">
        <v>385</v>
      </c>
      <c r="B136" s="25" t="s">
        <v>32</v>
      </c>
      <c r="C136" s="8" t="s">
        <v>280</v>
      </c>
      <c r="D136" s="8" t="s">
        <v>56</v>
      </c>
      <c r="E136" s="56" t="s">
        <v>57</v>
      </c>
      <c r="F136" s="51">
        <f>455.9-235-2.2</f>
        <v>218.7</v>
      </c>
      <c r="G136" s="126">
        <v>218.7</v>
      </c>
    </row>
    <row r="137" spans="1:7" ht="24.6" customHeight="1">
      <c r="A137" s="25" t="s">
        <v>385</v>
      </c>
      <c r="B137" s="25" t="s">
        <v>32</v>
      </c>
      <c r="C137" s="3">
        <v>9900000</v>
      </c>
      <c r="D137" s="68"/>
      <c r="E137" s="69" t="s">
        <v>352</v>
      </c>
      <c r="F137" s="51">
        <f aca="true" t="shared" si="7" ref="F137:G138">F138</f>
        <v>566.7</v>
      </c>
      <c r="G137" s="126">
        <f t="shared" si="7"/>
        <v>566.7</v>
      </c>
    </row>
    <row r="138" spans="1:7" ht="40.2" customHeight="1">
      <c r="A138" s="25" t="s">
        <v>385</v>
      </c>
      <c r="B138" s="25" t="s">
        <v>32</v>
      </c>
      <c r="C138" s="3">
        <v>9911000</v>
      </c>
      <c r="D138" s="8" t="s">
        <v>53</v>
      </c>
      <c r="E138" s="69" t="s">
        <v>116</v>
      </c>
      <c r="F138" s="51">
        <f t="shared" si="7"/>
        <v>566.7</v>
      </c>
      <c r="G138" s="126">
        <f t="shared" si="7"/>
        <v>566.7</v>
      </c>
    </row>
    <row r="139" spans="1:7" ht="33.6">
      <c r="A139" s="25" t="s">
        <v>385</v>
      </c>
      <c r="B139" s="25" t="s">
        <v>32</v>
      </c>
      <c r="C139" s="3">
        <v>9911000</v>
      </c>
      <c r="D139" s="8" t="s">
        <v>56</v>
      </c>
      <c r="E139" s="56" t="s">
        <v>57</v>
      </c>
      <c r="F139" s="51">
        <f>870-303.3</f>
        <v>566.7</v>
      </c>
      <c r="G139" s="126">
        <v>566.7</v>
      </c>
    </row>
    <row r="140" spans="1:7" ht="12.75">
      <c r="A140" s="25" t="s">
        <v>385</v>
      </c>
      <c r="B140" s="25" t="s">
        <v>19</v>
      </c>
      <c r="C140" s="8"/>
      <c r="D140" s="8"/>
      <c r="E140" s="56" t="s">
        <v>10</v>
      </c>
      <c r="F140" s="51">
        <f aca="true" t="shared" si="8" ref="F140:G144">F141</f>
        <v>15249.6</v>
      </c>
      <c r="G140" s="126">
        <f t="shared" si="8"/>
        <v>15161.8</v>
      </c>
    </row>
    <row r="141" spans="1:7" ht="12.75">
      <c r="A141" s="25" t="s">
        <v>385</v>
      </c>
      <c r="B141" s="25" t="s">
        <v>34</v>
      </c>
      <c r="C141" s="8"/>
      <c r="D141" s="8"/>
      <c r="E141" s="56" t="s">
        <v>373</v>
      </c>
      <c r="F141" s="51">
        <f t="shared" si="8"/>
        <v>15249.6</v>
      </c>
      <c r="G141" s="126">
        <f t="shared" si="8"/>
        <v>15161.8</v>
      </c>
    </row>
    <row r="142" spans="1:7" ht="50.4">
      <c r="A142" s="25" t="s">
        <v>385</v>
      </c>
      <c r="B142" s="25" t="s">
        <v>34</v>
      </c>
      <c r="C142" s="8" t="s">
        <v>179</v>
      </c>
      <c r="D142" s="8"/>
      <c r="E142" s="56" t="s">
        <v>180</v>
      </c>
      <c r="F142" s="51">
        <f t="shared" si="8"/>
        <v>15249.6</v>
      </c>
      <c r="G142" s="126">
        <f t="shared" si="8"/>
        <v>15161.8</v>
      </c>
    </row>
    <row r="143" spans="1:7" ht="50.4">
      <c r="A143" s="25" t="s">
        <v>385</v>
      </c>
      <c r="B143" s="25" t="s">
        <v>34</v>
      </c>
      <c r="C143" s="8" t="s">
        <v>181</v>
      </c>
      <c r="D143" s="8"/>
      <c r="E143" s="56" t="s">
        <v>182</v>
      </c>
      <c r="F143" s="51">
        <f t="shared" si="8"/>
        <v>15249.6</v>
      </c>
      <c r="G143" s="126">
        <f t="shared" si="8"/>
        <v>15161.8</v>
      </c>
    </row>
    <row r="144" spans="1:7" ht="33.6">
      <c r="A144" s="25" t="s">
        <v>385</v>
      </c>
      <c r="B144" s="25" t="s">
        <v>34</v>
      </c>
      <c r="C144" s="8" t="s">
        <v>282</v>
      </c>
      <c r="D144" s="8"/>
      <c r="E144" s="56" t="s">
        <v>283</v>
      </c>
      <c r="F144" s="51">
        <f t="shared" si="8"/>
        <v>15249.6</v>
      </c>
      <c r="G144" s="126">
        <f t="shared" si="8"/>
        <v>15161.8</v>
      </c>
    </row>
    <row r="145" spans="1:7" ht="33.6">
      <c r="A145" s="25" t="s">
        <v>385</v>
      </c>
      <c r="B145" s="25" t="s">
        <v>34</v>
      </c>
      <c r="C145" s="8" t="s">
        <v>282</v>
      </c>
      <c r="D145" s="15">
        <v>600</v>
      </c>
      <c r="E145" s="9" t="s">
        <v>87</v>
      </c>
      <c r="F145" s="51">
        <v>15249.6</v>
      </c>
      <c r="G145" s="126">
        <v>15161.8</v>
      </c>
    </row>
    <row r="146" spans="1:7" ht="12.75">
      <c r="A146" s="25" t="s">
        <v>385</v>
      </c>
      <c r="B146" s="25" t="s">
        <v>23</v>
      </c>
      <c r="C146" s="8"/>
      <c r="D146" s="67"/>
      <c r="E146" s="9" t="s">
        <v>74</v>
      </c>
      <c r="F146" s="51">
        <f aca="true" t="shared" si="9" ref="F146:G146">F147</f>
        <v>33307.2</v>
      </c>
      <c r="G146" s="126">
        <f t="shared" si="9"/>
        <v>27461.399999999994</v>
      </c>
    </row>
    <row r="147" spans="1:7" ht="12.75">
      <c r="A147" s="25" t="s">
        <v>385</v>
      </c>
      <c r="B147" s="25" t="s">
        <v>24</v>
      </c>
      <c r="C147" s="8"/>
      <c r="D147" s="67"/>
      <c r="E147" s="9" t="s">
        <v>377</v>
      </c>
      <c r="F147" s="51">
        <f>F148+F182</f>
        <v>33307.2</v>
      </c>
      <c r="G147" s="126">
        <f>G148+G182</f>
        <v>27461.399999999994</v>
      </c>
    </row>
    <row r="148" spans="1:7" ht="50.4">
      <c r="A148" s="25" t="s">
        <v>385</v>
      </c>
      <c r="B148" s="25" t="s">
        <v>24</v>
      </c>
      <c r="C148" s="8" t="s">
        <v>179</v>
      </c>
      <c r="D148" s="8"/>
      <c r="E148" s="56" t="s">
        <v>180</v>
      </c>
      <c r="F148" s="51">
        <f>F149+F179</f>
        <v>33244</v>
      </c>
      <c r="G148" s="126">
        <f>G149+G179</f>
        <v>27398.199999999993</v>
      </c>
    </row>
    <row r="149" spans="1:7" ht="50.4">
      <c r="A149" s="25" t="s">
        <v>385</v>
      </c>
      <c r="B149" s="25" t="s">
        <v>24</v>
      </c>
      <c r="C149" s="8" t="s">
        <v>181</v>
      </c>
      <c r="D149" s="8"/>
      <c r="E149" s="56" t="s">
        <v>182</v>
      </c>
      <c r="F149" s="51">
        <f>F150+F152+F154+F157+F161+F167+F163+F159+F171+F175+F177+F165+F173</f>
        <v>25653.999999999996</v>
      </c>
      <c r="G149" s="126">
        <f>G150+G152+G154+G157+G161+G167+G163+G159+G171+G175+G177+G165+G173</f>
        <v>25598.199999999993</v>
      </c>
    </row>
    <row r="150" spans="1:7" ht="33.6">
      <c r="A150" s="25" t="s">
        <v>385</v>
      </c>
      <c r="B150" s="25" t="s">
        <v>24</v>
      </c>
      <c r="C150" s="8" t="s">
        <v>186</v>
      </c>
      <c r="D150" s="8"/>
      <c r="E150" s="56" t="s">
        <v>183</v>
      </c>
      <c r="F150" s="51">
        <f>F151</f>
        <v>9</v>
      </c>
      <c r="G150" s="126">
        <f>G151</f>
        <v>9</v>
      </c>
    </row>
    <row r="151" spans="1:7" ht="33.6">
      <c r="A151" s="25" t="s">
        <v>385</v>
      </c>
      <c r="B151" s="25" t="s">
        <v>24</v>
      </c>
      <c r="C151" s="8" t="s">
        <v>186</v>
      </c>
      <c r="D151" s="67" t="s">
        <v>56</v>
      </c>
      <c r="E151" s="9" t="s">
        <v>57</v>
      </c>
      <c r="F151" s="51">
        <f>204-195</f>
        <v>9</v>
      </c>
      <c r="G151" s="126">
        <v>9</v>
      </c>
    </row>
    <row r="152" spans="1:7" ht="33.6">
      <c r="A152" s="25" t="s">
        <v>385</v>
      </c>
      <c r="B152" s="25" t="s">
        <v>24</v>
      </c>
      <c r="C152" s="8" t="s">
        <v>187</v>
      </c>
      <c r="D152" s="8"/>
      <c r="E152" s="56" t="s">
        <v>184</v>
      </c>
      <c r="F152" s="51">
        <f>F153</f>
        <v>45</v>
      </c>
      <c r="G152" s="126">
        <f>G153</f>
        <v>45</v>
      </c>
    </row>
    <row r="153" spans="1:7" ht="33.6">
      <c r="A153" s="25" t="s">
        <v>385</v>
      </c>
      <c r="B153" s="25" t="s">
        <v>24</v>
      </c>
      <c r="C153" s="8" t="s">
        <v>187</v>
      </c>
      <c r="D153" s="67" t="s">
        <v>56</v>
      </c>
      <c r="E153" s="9" t="s">
        <v>57</v>
      </c>
      <c r="F153" s="51">
        <v>45</v>
      </c>
      <c r="G153" s="126">
        <v>45</v>
      </c>
    </row>
    <row r="154" spans="1:7" ht="33.6">
      <c r="A154" s="25" t="s">
        <v>385</v>
      </c>
      <c r="B154" s="25" t="s">
        <v>24</v>
      </c>
      <c r="C154" s="8" t="s">
        <v>188</v>
      </c>
      <c r="D154" s="8"/>
      <c r="E154" s="56" t="s">
        <v>185</v>
      </c>
      <c r="F154" s="51">
        <f>F155+F156</f>
        <v>1036.8</v>
      </c>
      <c r="G154" s="126">
        <f>G155+G156</f>
        <v>1036.8</v>
      </c>
    </row>
    <row r="155" spans="1:7" ht="33.6">
      <c r="A155" s="25" t="s">
        <v>385</v>
      </c>
      <c r="B155" s="25" t="s">
        <v>24</v>
      </c>
      <c r="C155" s="8" t="s">
        <v>188</v>
      </c>
      <c r="D155" s="67" t="s">
        <v>56</v>
      </c>
      <c r="E155" s="9" t="s">
        <v>57</v>
      </c>
      <c r="F155" s="51">
        <f>189.3-1.4</f>
        <v>187.9</v>
      </c>
      <c r="G155" s="126">
        <v>187.9</v>
      </c>
    </row>
    <row r="156" spans="1:7" ht="33.6">
      <c r="A156" s="25" t="s">
        <v>385</v>
      </c>
      <c r="B156" s="25" t="s">
        <v>24</v>
      </c>
      <c r="C156" s="8" t="s">
        <v>188</v>
      </c>
      <c r="D156" s="88">
        <v>600</v>
      </c>
      <c r="E156" s="9" t="s">
        <v>87</v>
      </c>
      <c r="F156" s="91">
        <v>848.9</v>
      </c>
      <c r="G156" s="126">
        <v>848.9</v>
      </c>
    </row>
    <row r="157" spans="1:7" ht="50.4">
      <c r="A157" s="25" t="s">
        <v>385</v>
      </c>
      <c r="B157" s="25" t="s">
        <v>24</v>
      </c>
      <c r="C157" s="8" t="s">
        <v>189</v>
      </c>
      <c r="D157" s="8"/>
      <c r="E157" s="56" t="s">
        <v>190</v>
      </c>
      <c r="F157" s="51">
        <f>F158</f>
        <v>280</v>
      </c>
      <c r="G157" s="126">
        <f>G158</f>
        <v>279.9</v>
      </c>
    </row>
    <row r="158" spans="1:7" ht="33.6">
      <c r="A158" s="25" t="s">
        <v>385</v>
      </c>
      <c r="B158" s="25" t="s">
        <v>24</v>
      </c>
      <c r="C158" s="8" t="s">
        <v>189</v>
      </c>
      <c r="D158" s="67" t="s">
        <v>56</v>
      </c>
      <c r="E158" s="9" t="s">
        <v>57</v>
      </c>
      <c r="F158" s="51">
        <v>280</v>
      </c>
      <c r="G158" s="126">
        <v>279.9</v>
      </c>
    </row>
    <row r="159" spans="1:7" ht="12.75">
      <c r="A159" s="25" t="s">
        <v>385</v>
      </c>
      <c r="B159" s="25" t="s">
        <v>24</v>
      </c>
      <c r="C159" s="8" t="s">
        <v>330</v>
      </c>
      <c r="D159" s="8"/>
      <c r="E159" s="56" t="s">
        <v>331</v>
      </c>
      <c r="F159" s="51">
        <f>F160</f>
        <v>195</v>
      </c>
      <c r="G159" s="126">
        <f>G160</f>
        <v>195</v>
      </c>
    </row>
    <row r="160" spans="1:7" ht="33.6">
      <c r="A160" s="25" t="s">
        <v>385</v>
      </c>
      <c r="B160" s="25" t="s">
        <v>24</v>
      </c>
      <c r="C160" s="8" t="s">
        <v>330</v>
      </c>
      <c r="D160" s="67" t="s">
        <v>56</v>
      </c>
      <c r="E160" s="9" t="s">
        <v>57</v>
      </c>
      <c r="F160" s="51">
        <v>195</v>
      </c>
      <c r="G160" s="126">
        <v>195</v>
      </c>
    </row>
    <row r="161" spans="1:7" ht="33.6">
      <c r="A161" s="25" t="s">
        <v>385</v>
      </c>
      <c r="B161" s="25" t="s">
        <v>24</v>
      </c>
      <c r="C161" s="8" t="s">
        <v>192</v>
      </c>
      <c r="D161" s="8"/>
      <c r="E161" s="56" t="s">
        <v>191</v>
      </c>
      <c r="F161" s="51">
        <f>F162</f>
        <v>12974.1</v>
      </c>
      <c r="G161" s="126">
        <f>G162</f>
        <v>12923.9</v>
      </c>
    </row>
    <row r="162" spans="1:7" ht="33.6">
      <c r="A162" s="25" t="s">
        <v>385</v>
      </c>
      <c r="B162" s="25" t="s">
        <v>24</v>
      </c>
      <c r="C162" s="8" t="s">
        <v>192</v>
      </c>
      <c r="D162" s="15">
        <v>600</v>
      </c>
      <c r="E162" s="9" t="s">
        <v>87</v>
      </c>
      <c r="F162" s="51">
        <f>12552-95.3+517.4</f>
        <v>12974.1</v>
      </c>
      <c r="G162" s="126">
        <v>12923.9</v>
      </c>
    </row>
    <row r="163" spans="1:7" ht="67.2">
      <c r="A163" s="25" t="s">
        <v>385</v>
      </c>
      <c r="B163" s="25" t="s">
        <v>24</v>
      </c>
      <c r="C163" s="8" t="s">
        <v>194</v>
      </c>
      <c r="D163" s="8"/>
      <c r="E163" s="56" t="s">
        <v>193</v>
      </c>
      <c r="F163" s="51">
        <f>F164</f>
        <v>53</v>
      </c>
      <c r="G163" s="126">
        <f>G164</f>
        <v>52.7</v>
      </c>
    </row>
    <row r="164" spans="1:7" ht="33.6">
      <c r="A164" s="25" t="s">
        <v>385</v>
      </c>
      <c r="B164" s="25" t="s">
        <v>24</v>
      </c>
      <c r="C164" s="8" t="s">
        <v>194</v>
      </c>
      <c r="D164" s="15">
        <v>600</v>
      </c>
      <c r="E164" s="9" t="s">
        <v>87</v>
      </c>
      <c r="F164" s="51">
        <v>53</v>
      </c>
      <c r="G164" s="126">
        <v>52.7</v>
      </c>
    </row>
    <row r="165" spans="1:7" ht="33.6">
      <c r="A165" s="25" t="s">
        <v>385</v>
      </c>
      <c r="B165" s="25" t="s">
        <v>24</v>
      </c>
      <c r="C165" s="8" t="s">
        <v>502</v>
      </c>
      <c r="D165" s="8"/>
      <c r="E165" s="56" t="s">
        <v>501</v>
      </c>
      <c r="F165" s="114">
        <f>F166</f>
        <v>95.3</v>
      </c>
      <c r="G165" s="126">
        <f>G166</f>
        <v>95.3</v>
      </c>
    </row>
    <row r="166" spans="1:7" ht="33.6">
      <c r="A166" s="25" t="s">
        <v>385</v>
      </c>
      <c r="B166" s="25" t="s">
        <v>24</v>
      </c>
      <c r="C166" s="8" t="s">
        <v>502</v>
      </c>
      <c r="D166" s="117">
        <v>600</v>
      </c>
      <c r="E166" s="9" t="s">
        <v>87</v>
      </c>
      <c r="F166" s="114">
        <v>95.3</v>
      </c>
      <c r="G166" s="126">
        <v>95.3</v>
      </c>
    </row>
    <row r="167" spans="1:7" ht="12.75">
      <c r="A167" s="25" t="s">
        <v>385</v>
      </c>
      <c r="B167" s="25" t="s">
        <v>24</v>
      </c>
      <c r="C167" s="8" t="s">
        <v>195</v>
      </c>
      <c r="D167" s="8"/>
      <c r="E167" s="56" t="s">
        <v>196</v>
      </c>
      <c r="F167" s="51">
        <f>SUM(F168:F170)</f>
        <v>9855.5</v>
      </c>
      <c r="G167" s="126">
        <f>SUM(G168:G170)</f>
        <v>9850.699999999999</v>
      </c>
    </row>
    <row r="168" spans="1:7" ht="84">
      <c r="A168" s="25" t="s">
        <v>385</v>
      </c>
      <c r="B168" s="25" t="s">
        <v>24</v>
      </c>
      <c r="C168" s="8" t="s">
        <v>195</v>
      </c>
      <c r="D168" s="8" t="s">
        <v>55</v>
      </c>
      <c r="E168" s="9" t="s">
        <v>346</v>
      </c>
      <c r="F168" s="51">
        <f>7361.9+2.8+1145</f>
        <v>8509.7</v>
      </c>
      <c r="G168" s="126">
        <v>8506.8</v>
      </c>
    </row>
    <row r="169" spans="1:7" ht="33.6">
      <c r="A169" s="25" t="s">
        <v>385</v>
      </c>
      <c r="B169" s="25" t="s">
        <v>24</v>
      </c>
      <c r="C169" s="8" t="s">
        <v>195</v>
      </c>
      <c r="D169" s="8" t="s">
        <v>56</v>
      </c>
      <c r="E169" s="9" t="s">
        <v>57</v>
      </c>
      <c r="F169" s="51">
        <f>1212.1-2.8</f>
        <v>1209.3</v>
      </c>
      <c r="G169" s="126">
        <v>1208.3</v>
      </c>
    </row>
    <row r="170" spans="1:7" ht="12.75">
      <c r="A170" s="25" t="s">
        <v>385</v>
      </c>
      <c r="B170" s="25" t="s">
        <v>24</v>
      </c>
      <c r="C170" s="8" t="s">
        <v>195</v>
      </c>
      <c r="D170" s="8" t="s">
        <v>58</v>
      </c>
      <c r="E170" s="9" t="s">
        <v>59</v>
      </c>
      <c r="F170" s="51">
        <v>136.5</v>
      </c>
      <c r="G170" s="126">
        <v>135.6</v>
      </c>
    </row>
    <row r="171" spans="1:7" ht="33.6">
      <c r="A171" s="25" t="s">
        <v>385</v>
      </c>
      <c r="B171" s="25" t="s">
        <v>24</v>
      </c>
      <c r="C171" s="8" t="s">
        <v>425</v>
      </c>
      <c r="D171" s="8"/>
      <c r="E171" s="9" t="s">
        <v>428</v>
      </c>
      <c r="F171" s="51">
        <f>F172</f>
        <v>643.6</v>
      </c>
      <c r="G171" s="126">
        <f>G172</f>
        <v>643.2</v>
      </c>
    </row>
    <row r="172" spans="1:7" ht="33.6">
      <c r="A172" s="25" t="s">
        <v>385</v>
      </c>
      <c r="B172" s="25" t="s">
        <v>24</v>
      </c>
      <c r="C172" s="8" t="s">
        <v>425</v>
      </c>
      <c r="D172" s="8" t="s">
        <v>56</v>
      </c>
      <c r="E172" s="9" t="s">
        <v>57</v>
      </c>
      <c r="F172" s="51">
        <f>420+223.6</f>
        <v>643.6</v>
      </c>
      <c r="G172" s="126">
        <v>643.2</v>
      </c>
    </row>
    <row r="173" spans="1:7" ht="84">
      <c r="A173" s="25" t="s">
        <v>385</v>
      </c>
      <c r="B173" s="25" t="s">
        <v>24</v>
      </c>
      <c r="C173" s="8" t="s">
        <v>506</v>
      </c>
      <c r="D173" s="8"/>
      <c r="E173" s="9" t="s">
        <v>507</v>
      </c>
      <c r="F173" s="120">
        <f>F174</f>
        <v>254.5</v>
      </c>
      <c r="G173" s="126">
        <f>G174</f>
        <v>254.5</v>
      </c>
    </row>
    <row r="174" spans="1:7" ht="33.6">
      <c r="A174" s="25" t="s">
        <v>385</v>
      </c>
      <c r="B174" s="25" t="s">
        <v>24</v>
      </c>
      <c r="C174" s="8" t="s">
        <v>506</v>
      </c>
      <c r="D174" s="119">
        <v>600</v>
      </c>
      <c r="E174" s="9" t="s">
        <v>87</v>
      </c>
      <c r="F174" s="120">
        <v>254.5</v>
      </c>
      <c r="G174" s="126">
        <v>254.5</v>
      </c>
    </row>
    <row r="175" spans="1:7" ht="50.4">
      <c r="A175" s="25" t="s">
        <v>385</v>
      </c>
      <c r="B175" s="25" t="s">
        <v>24</v>
      </c>
      <c r="C175" s="8" t="s">
        <v>431</v>
      </c>
      <c r="D175" s="8"/>
      <c r="E175" s="9" t="s">
        <v>432</v>
      </c>
      <c r="F175" s="83">
        <f>F176</f>
        <v>45.1</v>
      </c>
      <c r="G175" s="126">
        <f>G176</f>
        <v>45.1</v>
      </c>
    </row>
    <row r="176" spans="1:7" ht="33.6">
      <c r="A176" s="25" t="s">
        <v>385</v>
      </c>
      <c r="B176" s="25" t="s">
        <v>24</v>
      </c>
      <c r="C176" s="8" t="s">
        <v>431</v>
      </c>
      <c r="D176" s="8" t="s">
        <v>56</v>
      </c>
      <c r="E176" s="9" t="s">
        <v>57</v>
      </c>
      <c r="F176" s="83">
        <v>45.1</v>
      </c>
      <c r="G176" s="126">
        <v>45.1</v>
      </c>
    </row>
    <row r="177" spans="1:7" ht="50.4">
      <c r="A177" s="25" t="s">
        <v>385</v>
      </c>
      <c r="B177" s="25" t="s">
        <v>24</v>
      </c>
      <c r="C177" s="8" t="s">
        <v>433</v>
      </c>
      <c r="D177" s="8"/>
      <c r="E177" s="9" t="s">
        <v>435</v>
      </c>
      <c r="F177" s="84">
        <f>F178</f>
        <v>167.1</v>
      </c>
      <c r="G177" s="126">
        <f>G178</f>
        <v>167.1</v>
      </c>
    </row>
    <row r="178" spans="1:7" ht="33.6">
      <c r="A178" s="25" t="s">
        <v>385</v>
      </c>
      <c r="B178" s="25" t="s">
        <v>24</v>
      </c>
      <c r="C178" s="8" t="s">
        <v>433</v>
      </c>
      <c r="D178" s="8" t="s">
        <v>56</v>
      </c>
      <c r="E178" s="9" t="s">
        <v>57</v>
      </c>
      <c r="F178" s="84">
        <v>167.1</v>
      </c>
      <c r="G178" s="126">
        <v>167.1</v>
      </c>
    </row>
    <row r="179" spans="1:7" ht="33.6">
      <c r="A179" s="25" t="s">
        <v>385</v>
      </c>
      <c r="B179" s="25" t="s">
        <v>24</v>
      </c>
      <c r="C179" s="8" t="s">
        <v>199</v>
      </c>
      <c r="D179" s="67"/>
      <c r="E179" s="9" t="s">
        <v>198</v>
      </c>
      <c r="F179" s="51">
        <f aca="true" t="shared" si="10" ref="F179:G180">F180</f>
        <v>7590</v>
      </c>
      <c r="G179" s="126">
        <f t="shared" si="10"/>
        <v>1800</v>
      </c>
    </row>
    <row r="180" spans="1:7" ht="33.6">
      <c r="A180" s="25" t="s">
        <v>385</v>
      </c>
      <c r="B180" s="25" t="s">
        <v>24</v>
      </c>
      <c r="C180" s="8" t="s">
        <v>77</v>
      </c>
      <c r="D180" s="67"/>
      <c r="E180" s="9" t="s">
        <v>312</v>
      </c>
      <c r="F180" s="51">
        <f t="shared" si="10"/>
        <v>7590</v>
      </c>
      <c r="G180" s="126">
        <f t="shared" si="10"/>
        <v>1800</v>
      </c>
    </row>
    <row r="181" spans="1:7" ht="50.4">
      <c r="A181" s="25" t="s">
        <v>385</v>
      </c>
      <c r="B181" s="25" t="s">
        <v>24</v>
      </c>
      <c r="C181" s="8" t="s">
        <v>77</v>
      </c>
      <c r="D181" s="25" t="s">
        <v>60</v>
      </c>
      <c r="E181" s="9" t="s">
        <v>200</v>
      </c>
      <c r="F181" s="51">
        <f>7600-10</f>
        <v>7590</v>
      </c>
      <c r="G181" s="126">
        <v>1800</v>
      </c>
    </row>
    <row r="182" spans="1:7" ht="50.4">
      <c r="A182" s="25" t="s">
        <v>385</v>
      </c>
      <c r="B182" s="25" t="s">
        <v>24</v>
      </c>
      <c r="C182" s="8" t="s">
        <v>297</v>
      </c>
      <c r="D182" s="25"/>
      <c r="E182" s="9" t="s">
        <v>294</v>
      </c>
      <c r="F182" s="75">
        <f>F183</f>
        <v>63.2</v>
      </c>
      <c r="G182" s="126">
        <f>G183</f>
        <v>63.2</v>
      </c>
    </row>
    <row r="183" spans="1:7" ht="50.4">
      <c r="A183" s="25" t="s">
        <v>385</v>
      </c>
      <c r="B183" s="25" t="s">
        <v>24</v>
      </c>
      <c r="C183" s="9">
        <v>9977888</v>
      </c>
      <c r="D183" s="9"/>
      <c r="E183" s="9" t="s">
        <v>429</v>
      </c>
      <c r="F183" s="75">
        <f>F184</f>
        <v>63.2</v>
      </c>
      <c r="G183" s="126">
        <f>G184</f>
        <v>63.2</v>
      </c>
    </row>
    <row r="184" spans="1:7" ht="33.6">
      <c r="A184" s="25" t="s">
        <v>385</v>
      </c>
      <c r="B184" s="25" t="s">
        <v>24</v>
      </c>
      <c r="C184" s="9">
        <v>9977888</v>
      </c>
      <c r="D184" s="25" t="s">
        <v>56</v>
      </c>
      <c r="E184" s="9" t="s">
        <v>57</v>
      </c>
      <c r="F184" s="75">
        <v>63.2</v>
      </c>
      <c r="G184" s="126">
        <v>63.2</v>
      </c>
    </row>
    <row r="185" spans="1:7" ht="12.75">
      <c r="A185" s="25" t="s">
        <v>385</v>
      </c>
      <c r="B185" s="43" t="s">
        <v>21</v>
      </c>
      <c r="C185" s="43"/>
      <c r="D185" s="29"/>
      <c r="E185" s="30" t="s">
        <v>13</v>
      </c>
      <c r="F185" s="51">
        <f>F186+F191</f>
        <v>2747.2</v>
      </c>
      <c r="G185" s="126">
        <f>G186+G191</f>
        <v>2746.7</v>
      </c>
    </row>
    <row r="186" spans="1:7" ht="12.75">
      <c r="A186" s="25" t="s">
        <v>385</v>
      </c>
      <c r="B186" s="15">
        <v>1001</v>
      </c>
      <c r="C186" s="43"/>
      <c r="D186" s="29"/>
      <c r="E186" s="9" t="s">
        <v>14</v>
      </c>
      <c r="F186" s="51">
        <f aca="true" t="shared" si="11" ref="F186:G189">F187</f>
        <v>1669.2</v>
      </c>
      <c r="G186" s="126">
        <f t="shared" si="11"/>
        <v>1669.2</v>
      </c>
    </row>
    <row r="187" spans="1:7" ht="67.2">
      <c r="A187" s="25" t="s">
        <v>385</v>
      </c>
      <c r="B187" s="43" t="s">
        <v>36</v>
      </c>
      <c r="C187" s="8" t="s">
        <v>342</v>
      </c>
      <c r="D187" s="25"/>
      <c r="E187" s="23" t="s">
        <v>322</v>
      </c>
      <c r="F187" s="51">
        <f t="shared" si="11"/>
        <v>1669.2</v>
      </c>
      <c r="G187" s="126">
        <f t="shared" si="11"/>
        <v>1669.2</v>
      </c>
    </row>
    <row r="188" spans="1:7" ht="33.6">
      <c r="A188" s="25" t="s">
        <v>385</v>
      </c>
      <c r="B188" s="43" t="s">
        <v>36</v>
      </c>
      <c r="C188" s="8" t="s">
        <v>201</v>
      </c>
      <c r="D188" s="25"/>
      <c r="E188" s="9" t="s">
        <v>202</v>
      </c>
      <c r="F188" s="51">
        <f t="shared" si="11"/>
        <v>1669.2</v>
      </c>
      <c r="G188" s="126">
        <f t="shared" si="11"/>
        <v>1669.2</v>
      </c>
    </row>
    <row r="189" spans="1:7" ht="67.2">
      <c r="A189" s="25" t="s">
        <v>385</v>
      </c>
      <c r="B189" s="43" t="s">
        <v>36</v>
      </c>
      <c r="C189" s="8" t="s">
        <v>203</v>
      </c>
      <c r="D189" s="25"/>
      <c r="E189" s="9" t="s">
        <v>54</v>
      </c>
      <c r="F189" s="51">
        <f t="shared" si="11"/>
        <v>1669.2</v>
      </c>
      <c r="G189" s="126">
        <f t="shared" si="11"/>
        <v>1669.2</v>
      </c>
    </row>
    <row r="190" spans="1:7" ht="12.75">
      <c r="A190" s="25" t="s">
        <v>385</v>
      </c>
      <c r="B190" s="43" t="s">
        <v>36</v>
      </c>
      <c r="C190" s="8" t="s">
        <v>203</v>
      </c>
      <c r="D190" s="15" t="s">
        <v>61</v>
      </c>
      <c r="E190" s="9" t="s">
        <v>62</v>
      </c>
      <c r="F190" s="51">
        <f>2101.5-432.3</f>
        <v>1669.2</v>
      </c>
      <c r="G190" s="126">
        <v>1669.2</v>
      </c>
    </row>
    <row r="191" spans="1:7" ht="12.75">
      <c r="A191" s="25" t="s">
        <v>385</v>
      </c>
      <c r="B191" s="43" t="s">
        <v>22</v>
      </c>
      <c r="C191" s="43"/>
      <c r="D191" s="29"/>
      <c r="E191" s="9" t="s">
        <v>16</v>
      </c>
      <c r="F191" s="51">
        <f>F192</f>
        <v>1078</v>
      </c>
      <c r="G191" s="126">
        <f>G192</f>
        <v>1077.5</v>
      </c>
    </row>
    <row r="192" spans="1:7" ht="67.2">
      <c r="A192" s="25" t="s">
        <v>385</v>
      </c>
      <c r="B192" s="43" t="s">
        <v>22</v>
      </c>
      <c r="C192" s="8" t="s">
        <v>342</v>
      </c>
      <c r="D192" s="25"/>
      <c r="E192" s="23" t="s">
        <v>322</v>
      </c>
      <c r="F192" s="51">
        <f>F193+F196</f>
        <v>1078</v>
      </c>
      <c r="G192" s="126">
        <f>G193+G196</f>
        <v>1077.5</v>
      </c>
    </row>
    <row r="193" spans="1:7" ht="67.2">
      <c r="A193" s="25" t="s">
        <v>385</v>
      </c>
      <c r="B193" s="43" t="s">
        <v>22</v>
      </c>
      <c r="C193" s="43" t="s">
        <v>214</v>
      </c>
      <c r="D193" s="29"/>
      <c r="E193" s="9" t="s">
        <v>215</v>
      </c>
      <c r="F193" s="51">
        <f aca="true" t="shared" si="12" ref="F193:G194">F194</f>
        <v>300</v>
      </c>
      <c r="G193" s="126">
        <f t="shared" si="12"/>
        <v>300</v>
      </c>
    </row>
    <row r="194" spans="1:7" ht="50.4">
      <c r="A194" s="25" t="s">
        <v>385</v>
      </c>
      <c r="B194" s="43" t="s">
        <v>22</v>
      </c>
      <c r="C194" s="43" t="s">
        <v>216</v>
      </c>
      <c r="D194" s="29"/>
      <c r="E194" s="9" t="s">
        <v>217</v>
      </c>
      <c r="F194" s="51">
        <f t="shared" si="12"/>
        <v>300</v>
      </c>
      <c r="G194" s="126">
        <f t="shared" si="12"/>
        <v>300</v>
      </c>
    </row>
    <row r="195" spans="1:7" ht="33.6">
      <c r="A195" s="25" t="s">
        <v>385</v>
      </c>
      <c r="B195" s="43" t="s">
        <v>22</v>
      </c>
      <c r="C195" s="43" t="s">
        <v>216</v>
      </c>
      <c r="D195" s="15">
        <v>600</v>
      </c>
      <c r="E195" s="9" t="s">
        <v>87</v>
      </c>
      <c r="F195" s="51">
        <v>300</v>
      </c>
      <c r="G195" s="126">
        <v>300</v>
      </c>
    </row>
    <row r="196" spans="1:7" ht="33.6">
      <c r="A196" s="25" t="s">
        <v>385</v>
      </c>
      <c r="B196" s="43" t="s">
        <v>22</v>
      </c>
      <c r="C196" s="43" t="s">
        <v>201</v>
      </c>
      <c r="D196" s="29"/>
      <c r="E196" s="9" t="s">
        <v>202</v>
      </c>
      <c r="F196" s="51">
        <f>F197+F199+F201+F203+F205</f>
        <v>778</v>
      </c>
      <c r="G196" s="126">
        <f>G197+G199+G201+G203+G205</f>
        <v>777.5</v>
      </c>
    </row>
    <row r="197" spans="1:7" ht="50.4">
      <c r="A197" s="25" t="s">
        <v>385</v>
      </c>
      <c r="B197" s="43" t="s">
        <v>22</v>
      </c>
      <c r="C197" s="43" t="s">
        <v>205</v>
      </c>
      <c r="D197" s="29"/>
      <c r="E197" s="9" t="s">
        <v>204</v>
      </c>
      <c r="F197" s="51">
        <f>F198</f>
        <v>150</v>
      </c>
      <c r="G197" s="126">
        <f>G198</f>
        <v>150</v>
      </c>
    </row>
    <row r="198" spans="1:7" ht="12.75">
      <c r="A198" s="25" t="s">
        <v>385</v>
      </c>
      <c r="B198" s="43" t="s">
        <v>22</v>
      </c>
      <c r="C198" s="43" t="s">
        <v>205</v>
      </c>
      <c r="D198" s="29" t="s">
        <v>61</v>
      </c>
      <c r="E198" s="9" t="s">
        <v>62</v>
      </c>
      <c r="F198" s="51">
        <v>150</v>
      </c>
      <c r="G198" s="126">
        <v>150</v>
      </c>
    </row>
    <row r="199" spans="1:7" ht="50.4">
      <c r="A199" s="25" t="s">
        <v>385</v>
      </c>
      <c r="B199" s="43" t="s">
        <v>22</v>
      </c>
      <c r="C199" s="43" t="s">
        <v>207</v>
      </c>
      <c r="D199" s="29"/>
      <c r="E199" s="9" t="s">
        <v>206</v>
      </c>
      <c r="F199" s="51">
        <f>F200</f>
        <v>140.8</v>
      </c>
      <c r="G199" s="126">
        <f>G200</f>
        <v>140.8</v>
      </c>
    </row>
    <row r="200" spans="1:7" ht="12.75">
      <c r="A200" s="25" t="s">
        <v>385</v>
      </c>
      <c r="B200" s="43" t="s">
        <v>22</v>
      </c>
      <c r="C200" s="43" t="s">
        <v>207</v>
      </c>
      <c r="D200" s="29" t="s">
        <v>61</v>
      </c>
      <c r="E200" s="9" t="s">
        <v>62</v>
      </c>
      <c r="F200" s="51">
        <f>312-171.2</f>
        <v>140.8</v>
      </c>
      <c r="G200" s="126">
        <v>140.8</v>
      </c>
    </row>
    <row r="201" spans="1:7" ht="50.4">
      <c r="A201" s="25" t="s">
        <v>385</v>
      </c>
      <c r="B201" s="43" t="s">
        <v>22</v>
      </c>
      <c r="C201" s="43" t="s">
        <v>210</v>
      </c>
      <c r="D201" s="29"/>
      <c r="E201" s="9" t="s">
        <v>208</v>
      </c>
      <c r="F201" s="51">
        <f>F202</f>
        <v>169</v>
      </c>
      <c r="G201" s="126">
        <f>G202</f>
        <v>168.5</v>
      </c>
    </row>
    <row r="202" spans="1:7" ht="12.75">
      <c r="A202" s="25" t="s">
        <v>385</v>
      </c>
      <c r="B202" s="43" t="s">
        <v>22</v>
      </c>
      <c r="C202" s="43" t="s">
        <v>210</v>
      </c>
      <c r="D202" s="29" t="s">
        <v>61</v>
      </c>
      <c r="E202" s="9" t="s">
        <v>62</v>
      </c>
      <c r="F202" s="51">
        <f>233.3-64.3</f>
        <v>169</v>
      </c>
      <c r="G202" s="126">
        <v>168.5</v>
      </c>
    </row>
    <row r="203" spans="1:7" ht="33.6">
      <c r="A203" s="25" t="s">
        <v>385</v>
      </c>
      <c r="B203" s="43" t="s">
        <v>22</v>
      </c>
      <c r="C203" s="43" t="s">
        <v>211</v>
      </c>
      <c r="D203" s="29"/>
      <c r="E203" s="9" t="s">
        <v>209</v>
      </c>
      <c r="F203" s="51">
        <f>F204</f>
        <v>200</v>
      </c>
      <c r="G203" s="126">
        <f>G204</f>
        <v>200</v>
      </c>
    </row>
    <row r="204" spans="1:7" ht="12.75">
      <c r="A204" s="25" t="s">
        <v>385</v>
      </c>
      <c r="B204" s="25" t="s">
        <v>22</v>
      </c>
      <c r="C204" s="43" t="s">
        <v>211</v>
      </c>
      <c r="D204" s="29" t="s">
        <v>61</v>
      </c>
      <c r="E204" s="9" t="s">
        <v>62</v>
      </c>
      <c r="F204" s="51">
        <v>200</v>
      </c>
      <c r="G204" s="126">
        <v>200</v>
      </c>
    </row>
    <row r="205" spans="1:7" ht="50.4">
      <c r="A205" s="25" t="s">
        <v>385</v>
      </c>
      <c r="B205" s="25" t="s">
        <v>22</v>
      </c>
      <c r="C205" s="43" t="s">
        <v>212</v>
      </c>
      <c r="D205" s="29"/>
      <c r="E205" s="9" t="s">
        <v>213</v>
      </c>
      <c r="F205" s="51">
        <f>F206</f>
        <v>118.19999999999999</v>
      </c>
      <c r="G205" s="126">
        <f>G206</f>
        <v>118.2</v>
      </c>
    </row>
    <row r="206" spans="1:7" ht="12.75">
      <c r="A206" s="25" t="s">
        <v>385</v>
      </c>
      <c r="B206" s="25" t="s">
        <v>22</v>
      </c>
      <c r="C206" s="43" t="s">
        <v>212</v>
      </c>
      <c r="D206" s="29" t="s">
        <v>61</v>
      </c>
      <c r="E206" s="9" t="s">
        <v>62</v>
      </c>
      <c r="F206" s="51">
        <f>143.6-25.4</f>
        <v>118.19999999999999</v>
      </c>
      <c r="G206" s="126">
        <v>118.2</v>
      </c>
    </row>
    <row r="207" spans="1:7" ht="12.75">
      <c r="A207" s="25" t="s">
        <v>385</v>
      </c>
      <c r="B207" s="15">
        <v>1200</v>
      </c>
      <c r="C207" s="8"/>
      <c r="D207" s="25"/>
      <c r="E207" s="9" t="s">
        <v>46</v>
      </c>
      <c r="F207" s="51">
        <f>F208+F213</f>
        <v>2631.6</v>
      </c>
      <c r="G207" s="126">
        <f>G208+G213</f>
        <v>2631.6</v>
      </c>
    </row>
    <row r="208" spans="1:7" ht="12.75">
      <c r="A208" s="25" t="s">
        <v>385</v>
      </c>
      <c r="B208" s="15">
        <v>1201</v>
      </c>
      <c r="C208" s="8"/>
      <c r="D208" s="25"/>
      <c r="E208" s="9" t="s">
        <v>374</v>
      </c>
      <c r="F208" s="51">
        <f aca="true" t="shared" si="13" ref="F208:G211">F209</f>
        <v>770</v>
      </c>
      <c r="G208" s="126">
        <f t="shared" si="13"/>
        <v>770</v>
      </c>
    </row>
    <row r="209" spans="1:7" ht="67.2">
      <c r="A209" s="25" t="s">
        <v>385</v>
      </c>
      <c r="B209" s="25" t="s">
        <v>49</v>
      </c>
      <c r="C209" s="43" t="s">
        <v>342</v>
      </c>
      <c r="D209" s="29"/>
      <c r="E209" s="23" t="s">
        <v>322</v>
      </c>
      <c r="F209" s="51">
        <f t="shared" si="13"/>
        <v>770</v>
      </c>
      <c r="G209" s="126">
        <f t="shared" si="13"/>
        <v>770</v>
      </c>
    </row>
    <row r="210" spans="1:7" ht="67.2">
      <c r="A210" s="25" t="s">
        <v>385</v>
      </c>
      <c r="B210" s="25" t="s">
        <v>49</v>
      </c>
      <c r="C210" s="43" t="s">
        <v>214</v>
      </c>
      <c r="D210" s="29"/>
      <c r="E210" s="9" t="s">
        <v>215</v>
      </c>
      <c r="F210" s="51">
        <f t="shared" si="13"/>
        <v>770</v>
      </c>
      <c r="G210" s="126">
        <f t="shared" si="13"/>
        <v>770</v>
      </c>
    </row>
    <row r="211" spans="1:7" ht="100.8">
      <c r="A211" s="25" t="s">
        <v>385</v>
      </c>
      <c r="B211" s="25" t="s">
        <v>49</v>
      </c>
      <c r="C211" s="43" t="s">
        <v>332</v>
      </c>
      <c r="D211" s="29"/>
      <c r="E211" s="9" t="s">
        <v>337</v>
      </c>
      <c r="F211" s="51">
        <f t="shared" si="13"/>
        <v>770</v>
      </c>
      <c r="G211" s="126">
        <f t="shared" si="13"/>
        <v>770</v>
      </c>
    </row>
    <row r="212" spans="1:7" ht="12.75">
      <c r="A212" s="25" t="s">
        <v>385</v>
      </c>
      <c r="B212" s="25" t="s">
        <v>49</v>
      </c>
      <c r="C212" s="43" t="s">
        <v>332</v>
      </c>
      <c r="D212" s="29" t="s">
        <v>58</v>
      </c>
      <c r="E212" s="9" t="s">
        <v>59</v>
      </c>
      <c r="F212" s="51">
        <v>770</v>
      </c>
      <c r="G212" s="126">
        <v>770</v>
      </c>
    </row>
    <row r="213" spans="1:7" ht="33.6">
      <c r="A213" s="25" t="s">
        <v>385</v>
      </c>
      <c r="B213" s="25" t="s">
        <v>51</v>
      </c>
      <c r="C213" s="8"/>
      <c r="D213" s="25"/>
      <c r="E213" s="9" t="s">
        <v>52</v>
      </c>
      <c r="F213" s="51">
        <f aca="true" t="shared" si="14" ref="F213:G214">F214</f>
        <v>1861.6</v>
      </c>
      <c r="G213" s="126">
        <f t="shared" si="14"/>
        <v>1861.6</v>
      </c>
    </row>
    <row r="214" spans="1:7" ht="67.2">
      <c r="A214" s="25" t="s">
        <v>385</v>
      </c>
      <c r="B214" s="25" t="s">
        <v>51</v>
      </c>
      <c r="C214" s="43" t="s">
        <v>342</v>
      </c>
      <c r="D214" s="29"/>
      <c r="E214" s="23" t="s">
        <v>322</v>
      </c>
      <c r="F214" s="51">
        <f t="shared" si="14"/>
        <v>1861.6</v>
      </c>
      <c r="G214" s="126">
        <f t="shared" si="14"/>
        <v>1861.6</v>
      </c>
    </row>
    <row r="215" spans="1:7" ht="67.2">
      <c r="A215" s="25" t="s">
        <v>385</v>
      </c>
      <c r="B215" s="25" t="s">
        <v>51</v>
      </c>
      <c r="C215" s="43" t="s">
        <v>214</v>
      </c>
      <c r="D215" s="29"/>
      <c r="E215" s="9" t="s">
        <v>215</v>
      </c>
      <c r="F215" s="51">
        <f>F216+F218+F222+F220+F224</f>
        <v>1861.6</v>
      </c>
      <c r="G215" s="126">
        <f>G216+G218+G222+G220+G224</f>
        <v>1861.6</v>
      </c>
    </row>
    <row r="216" spans="1:7" ht="100.8">
      <c r="A216" s="25" t="s">
        <v>385</v>
      </c>
      <c r="B216" s="25" t="s">
        <v>51</v>
      </c>
      <c r="C216" s="43" t="s">
        <v>333</v>
      </c>
      <c r="D216" s="29"/>
      <c r="E216" s="9" t="s">
        <v>336</v>
      </c>
      <c r="F216" s="51">
        <f>F217</f>
        <v>400</v>
      </c>
      <c r="G216" s="126">
        <f>G217</f>
        <v>400</v>
      </c>
    </row>
    <row r="217" spans="1:7" ht="12.75">
      <c r="A217" s="25" t="s">
        <v>385</v>
      </c>
      <c r="B217" s="25" t="s">
        <v>51</v>
      </c>
      <c r="C217" s="43" t="s">
        <v>333</v>
      </c>
      <c r="D217" s="29" t="s">
        <v>58</v>
      </c>
      <c r="E217" s="9" t="s">
        <v>59</v>
      </c>
      <c r="F217" s="51">
        <v>400</v>
      </c>
      <c r="G217" s="126">
        <v>400</v>
      </c>
    </row>
    <row r="218" spans="1:7" ht="84">
      <c r="A218" s="25" t="s">
        <v>385</v>
      </c>
      <c r="B218" s="25" t="s">
        <v>51</v>
      </c>
      <c r="C218" s="43" t="s">
        <v>334</v>
      </c>
      <c r="D218" s="29"/>
      <c r="E218" s="9" t="s">
        <v>335</v>
      </c>
      <c r="F218" s="51">
        <f>F219</f>
        <v>520</v>
      </c>
      <c r="G218" s="126">
        <f>G219</f>
        <v>520</v>
      </c>
    </row>
    <row r="219" spans="1:7" ht="12.75">
      <c r="A219" s="25" t="s">
        <v>385</v>
      </c>
      <c r="B219" s="25" t="s">
        <v>51</v>
      </c>
      <c r="C219" s="43" t="s">
        <v>334</v>
      </c>
      <c r="D219" s="29" t="s">
        <v>58</v>
      </c>
      <c r="E219" s="9" t="s">
        <v>59</v>
      </c>
      <c r="F219" s="51">
        <v>520</v>
      </c>
      <c r="G219" s="126">
        <v>520</v>
      </c>
    </row>
    <row r="220" spans="1:7" s="74" customFormat="1" ht="67.2">
      <c r="A220" s="25" t="s">
        <v>385</v>
      </c>
      <c r="B220" s="25" t="s">
        <v>51</v>
      </c>
      <c r="C220" s="11" t="s">
        <v>442</v>
      </c>
      <c r="D220" s="88"/>
      <c r="E220" s="9" t="s">
        <v>443</v>
      </c>
      <c r="F220" s="61">
        <f>F221</f>
        <v>170</v>
      </c>
      <c r="G220" s="126">
        <f>G221</f>
        <v>170</v>
      </c>
    </row>
    <row r="221" spans="1:7" s="74" customFormat="1" ht="12.75">
      <c r="A221" s="25" t="s">
        <v>385</v>
      </c>
      <c r="B221" s="25" t="s">
        <v>51</v>
      </c>
      <c r="C221" s="11" t="s">
        <v>442</v>
      </c>
      <c r="D221" s="88" t="s">
        <v>58</v>
      </c>
      <c r="E221" s="9" t="s">
        <v>59</v>
      </c>
      <c r="F221" s="61">
        <v>170</v>
      </c>
      <c r="G221" s="126">
        <v>170</v>
      </c>
    </row>
    <row r="222" spans="1:7" ht="100.8">
      <c r="A222" s="25" t="s">
        <v>385</v>
      </c>
      <c r="B222" s="25" t="s">
        <v>51</v>
      </c>
      <c r="C222" s="43" t="s">
        <v>417</v>
      </c>
      <c r="D222" s="29"/>
      <c r="E222" s="9" t="s">
        <v>418</v>
      </c>
      <c r="F222" s="51">
        <f>F223</f>
        <v>521.6</v>
      </c>
      <c r="G222" s="126">
        <f>G223</f>
        <v>521.6</v>
      </c>
    </row>
    <row r="223" spans="1:7" ht="12.75">
      <c r="A223" s="25" t="s">
        <v>385</v>
      </c>
      <c r="B223" s="25" t="s">
        <v>51</v>
      </c>
      <c r="C223" s="43" t="s">
        <v>417</v>
      </c>
      <c r="D223" s="29" t="s">
        <v>58</v>
      </c>
      <c r="E223" s="9" t="s">
        <v>59</v>
      </c>
      <c r="F223" s="51">
        <v>521.6</v>
      </c>
      <c r="G223" s="126">
        <v>521.6</v>
      </c>
    </row>
    <row r="224" spans="1:7" ht="75.6" customHeight="1">
      <c r="A224" s="25" t="s">
        <v>385</v>
      </c>
      <c r="B224" s="25" t="s">
        <v>51</v>
      </c>
      <c r="C224" s="11" t="s">
        <v>504</v>
      </c>
      <c r="D224" s="119"/>
      <c r="E224" s="9" t="s">
        <v>505</v>
      </c>
      <c r="F224" s="118">
        <f>F225</f>
        <v>250</v>
      </c>
      <c r="G224" s="126">
        <f>G225</f>
        <v>250</v>
      </c>
    </row>
    <row r="225" spans="1:7" ht="12.75">
      <c r="A225" s="25" t="s">
        <v>385</v>
      </c>
      <c r="B225" s="25" t="s">
        <v>51</v>
      </c>
      <c r="C225" s="11" t="s">
        <v>504</v>
      </c>
      <c r="D225" s="119" t="s">
        <v>58</v>
      </c>
      <c r="E225" s="9" t="s">
        <v>59</v>
      </c>
      <c r="F225" s="118">
        <v>250</v>
      </c>
      <c r="G225" s="126">
        <v>250</v>
      </c>
    </row>
    <row r="226" spans="1:7" ht="33.6">
      <c r="A226" s="26" t="s">
        <v>17</v>
      </c>
      <c r="B226" s="25"/>
      <c r="C226" s="26"/>
      <c r="D226" s="26"/>
      <c r="E226" s="27" t="s">
        <v>50</v>
      </c>
      <c r="F226" s="52">
        <f>F227+F249</f>
        <v>11783.800000000003</v>
      </c>
      <c r="G226" s="52">
        <f>G227+G249</f>
        <v>11782.2</v>
      </c>
    </row>
    <row r="227" spans="1:7" ht="12.75">
      <c r="A227" s="25" t="s">
        <v>17</v>
      </c>
      <c r="B227" s="25" t="s">
        <v>37</v>
      </c>
      <c r="C227" s="25"/>
      <c r="D227" s="25"/>
      <c r="E227" s="23" t="s">
        <v>386</v>
      </c>
      <c r="F227" s="51">
        <f>F228+F235</f>
        <v>11444.200000000003</v>
      </c>
      <c r="G227" s="126">
        <f>G228+G235</f>
        <v>11442.6</v>
      </c>
    </row>
    <row r="228" spans="1:7" ht="50.4">
      <c r="A228" s="25" t="s">
        <v>17</v>
      </c>
      <c r="B228" s="25" t="s">
        <v>28</v>
      </c>
      <c r="C228" s="25"/>
      <c r="D228" s="25"/>
      <c r="E228" s="9" t="s">
        <v>368</v>
      </c>
      <c r="F228" s="51">
        <f aca="true" t="shared" si="15" ref="F228:G230">F229</f>
        <v>9660.000000000002</v>
      </c>
      <c r="G228" s="126">
        <f t="shared" si="15"/>
        <v>9658.4</v>
      </c>
    </row>
    <row r="229" spans="1:7" ht="50.4">
      <c r="A229" s="25" t="s">
        <v>17</v>
      </c>
      <c r="B229" s="25" t="s">
        <v>28</v>
      </c>
      <c r="C229" s="8" t="s">
        <v>359</v>
      </c>
      <c r="D229" s="67"/>
      <c r="E229" s="9" t="s">
        <v>358</v>
      </c>
      <c r="F229" s="51">
        <f t="shared" si="15"/>
        <v>9660.000000000002</v>
      </c>
      <c r="G229" s="126">
        <f t="shared" si="15"/>
        <v>9658.4</v>
      </c>
    </row>
    <row r="230" spans="1:7" ht="12.75">
      <c r="A230" s="25" t="s">
        <v>17</v>
      </c>
      <c r="B230" s="25" t="s">
        <v>28</v>
      </c>
      <c r="C230" s="43" t="s">
        <v>360</v>
      </c>
      <c r="D230" s="29"/>
      <c r="E230" s="23" t="s">
        <v>343</v>
      </c>
      <c r="F230" s="51">
        <f t="shared" si="15"/>
        <v>9660.000000000002</v>
      </c>
      <c r="G230" s="126">
        <f t="shared" si="15"/>
        <v>9658.4</v>
      </c>
    </row>
    <row r="231" spans="1:7" ht="84">
      <c r="A231" s="25" t="s">
        <v>17</v>
      </c>
      <c r="B231" s="25" t="s">
        <v>28</v>
      </c>
      <c r="C231" s="8" t="s">
        <v>314</v>
      </c>
      <c r="D231" s="8"/>
      <c r="E231" s="23" t="s">
        <v>63</v>
      </c>
      <c r="F231" s="51">
        <f>F232+F233+F234</f>
        <v>9660.000000000002</v>
      </c>
      <c r="G231" s="126">
        <f>G232+G233+G234</f>
        <v>9658.4</v>
      </c>
    </row>
    <row r="232" spans="1:7" ht="84">
      <c r="A232" s="25" t="s">
        <v>17</v>
      </c>
      <c r="B232" s="25" t="s">
        <v>28</v>
      </c>
      <c r="C232" s="8" t="s">
        <v>314</v>
      </c>
      <c r="D232" s="67" t="s">
        <v>55</v>
      </c>
      <c r="E232" s="9" t="s">
        <v>346</v>
      </c>
      <c r="F232" s="51">
        <f>8106.6-2.7</f>
        <v>8103.900000000001</v>
      </c>
      <c r="G232" s="126">
        <v>8103.9</v>
      </c>
    </row>
    <row r="233" spans="1:7" ht="33.6">
      <c r="A233" s="25" t="s">
        <v>17</v>
      </c>
      <c r="B233" s="25" t="s">
        <v>28</v>
      </c>
      <c r="C233" s="8" t="s">
        <v>314</v>
      </c>
      <c r="D233" s="67" t="s">
        <v>56</v>
      </c>
      <c r="E233" s="9" t="s">
        <v>57</v>
      </c>
      <c r="F233" s="51">
        <f>1352.2-6.7+34.4-27</f>
        <v>1352.9</v>
      </c>
      <c r="G233" s="126">
        <v>1351.3</v>
      </c>
    </row>
    <row r="234" spans="1:7" ht="12.75">
      <c r="A234" s="25" t="s">
        <v>17</v>
      </c>
      <c r="B234" s="25" t="s">
        <v>28</v>
      </c>
      <c r="C234" s="8" t="s">
        <v>314</v>
      </c>
      <c r="D234" s="67" t="s">
        <v>58</v>
      </c>
      <c r="E234" s="70" t="s">
        <v>59</v>
      </c>
      <c r="F234" s="51">
        <f>210.6-7.4</f>
        <v>203.2</v>
      </c>
      <c r="G234" s="126">
        <v>203.2</v>
      </c>
    </row>
    <row r="235" spans="1:7" ht="12.75">
      <c r="A235" s="25" t="s">
        <v>17</v>
      </c>
      <c r="B235" s="25" t="s">
        <v>43</v>
      </c>
      <c r="C235" s="26"/>
      <c r="D235" s="26"/>
      <c r="E235" s="9" t="s">
        <v>3</v>
      </c>
      <c r="F235" s="51">
        <f>F236</f>
        <v>1784.2</v>
      </c>
      <c r="G235" s="126">
        <f>G236</f>
        <v>1784.2</v>
      </c>
    </row>
    <row r="236" spans="1:7" ht="50.4">
      <c r="A236" s="25" t="s">
        <v>17</v>
      </c>
      <c r="B236" s="25" t="s">
        <v>43</v>
      </c>
      <c r="C236" s="8" t="s">
        <v>359</v>
      </c>
      <c r="D236" s="67"/>
      <c r="E236" s="9" t="s">
        <v>358</v>
      </c>
      <c r="F236" s="51">
        <f>F237+F242+F245</f>
        <v>1784.2</v>
      </c>
      <c r="G236" s="126">
        <f>G237+G242+G245</f>
        <v>1784.2</v>
      </c>
    </row>
    <row r="237" spans="1:7" ht="33.6">
      <c r="A237" s="25" t="s">
        <v>17</v>
      </c>
      <c r="B237" s="25" t="s">
        <v>43</v>
      </c>
      <c r="C237" s="8" t="s">
        <v>296</v>
      </c>
      <c r="D237" s="67"/>
      <c r="E237" s="9" t="s">
        <v>293</v>
      </c>
      <c r="F237" s="51">
        <f>F238+F240</f>
        <v>1712.7</v>
      </c>
      <c r="G237" s="126">
        <f>G238+G240</f>
        <v>1712.7</v>
      </c>
    </row>
    <row r="238" spans="1:7" ht="67.2">
      <c r="A238" s="25" t="s">
        <v>17</v>
      </c>
      <c r="B238" s="25" t="s">
        <v>43</v>
      </c>
      <c r="C238" s="8" t="s">
        <v>303</v>
      </c>
      <c r="D238" s="8"/>
      <c r="E238" s="24" t="s">
        <v>304</v>
      </c>
      <c r="F238" s="51">
        <f>F239</f>
        <v>1441.7</v>
      </c>
      <c r="G238" s="126">
        <f>G239</f>
        <v>1441.7</v>
      </c>
    </row>
    <row r="239" spans="1:7" ht="33.6">
      <c r="A239" s="25" t="s">
        <v>17</v>
      </c>
      <c r="B239" s="25" t="s">
        <v>43</v>
      </c>
      <c r="C239" s="8" t="s">
        <v>303</v>
      </c>
      <c r="D239" s="67" t="s">
        <v>56</v>
      </c>
      <c r="E239" s="9" t="s">
        <v>57</v>
      </c>
      <c r="F239" s="51">
        <f>1403.1+31.9+6.7</f>
        <v>1441.7</v>
      </c>
      <c r="G239" s="126">
        <v>1441.7</v>
      </c>
    </row>
    <row r="240" spans="1:7" ht="84">
      <c r="A240" s="25" t="s">
        <v>17</v>
      </c>
      <c r="B240" s="25" t="s">
        <v>43</v>
      </c>
      <c r="C240" s="8" t="s">
        <v>420</v>
      </c>
      <c r="D240" s="67"/>
      <c r="E240" s="24" t="s">
        <v>402</v>
      </c>
      <c r="F240" s="51">
        <f>F241</f>
        <v>271</v>
      </c>
      <c r="G240" s="126">
        <f>G241</f>
        <v>271</v>
      </c>
    </row>
    <row r="241" spans="1:7" ht="33.6">
      <c r="A241" s="25" t="s">
        <v>17</v>
      </c>
      <c r="B241" s="25" t="s">
        <v>43</v>
      </c>
      <c r="C241" s="8" t="s">
        <v>420</v>
      </c>
      <c r="D241" s="67" t="s">
        <v>56</v>
      </c>
      <c r="E241" s="9" t="s">
        <v>57</v>
      </c>
      <c r="F241" s="51">
        <v>271</v>
      </c>
      <c r="G241" s="126">
        <v>271</v>
      </c>
    </row>
    <row r="242" spans="1:7" ht="12.75">
      <c r="A242" s="25" t="s">
        <v>17</v>
      </c>
      <c r="B242" s="25" t="s">
        <v>43</v>
      </c>
      <c r="C242" s="8" t="s">
        <v>307</v>
      </c>
      <c r="D242" s="8"/>
      <c r="E242" s="24" t="s">
        <v>114</v>
      </c>
      <c r="F242" s="51">
        <f aca="true" t="shared" si="16" ref="F242:G243">F243</f>
        <v>4.100000000000001</v>
      </c>
      <c r="G242" s="126">
        <f t="shared" si="16"/>
        <v>4.1</v>
      </c>
    </row>
    <row r="243" spans="1:7" ht="50.4">
      <c r="A243" s="25" t="s">
        <v>17</v>
      </c>
      <c r="B243" s="25" t="s">
        <v>43</v>
      </c>
      <c r="C243" s="8" t="s">
        <v>308</v>
      </c>
      <c r="D243" s="8"/>
      <c r="E243" s="24" t="s">
        <v>309</v>
      </c>
      <c r="F243" s="51">
        <f t="shared" si="16"/>
        <v>4.100000000000001</v>
      </c>
      <c r="G243" s="126">
        <f t="shared" si="16"/>
        <v>4.1</v>
      </c>
    </row>
    <row r="244" spans="1:7" ht="33.6">
      <c r="A244" s="25" t="s">
        <v>17</v>
      </c>
      <c r="B244" s="25" t="s">
        <v>43</v>
      </c>
      <c r="C244" s="8" t="s">
        <v>308</v>
      </c>
      <c r="D244" s="67" t="s">
        <v>56</v>
      </c>
      <c r="E244" s="9" t="s">
        <v>57</v>
      </c>
      <c r="F244" s="51">
        <f>36-31.9</f>
        <v>4.100000000000001</v>
      </c>
      <c r="G244" s="126">
        <v>4.1</v>
      </c>
    </row>
    <row r="245" spans="1:7" ht="33.6">
      <c r="A245" s="25" t="s">
        <v>17</v>
      </c>
      <c r="B245" s="25" t="s">
        <v>43</v>
      </c>
      <c r="C245" s="3">
        <v>9900000</v>
      </c>
      <c r="D245" s="68"/>
      <c r="E245" s="24" t="s">
        <v>352</v>
      </c>
      <c r="F245" s="51">
        <f>F246</f>
        <v>67.4</v>
      </c>
      <c r="G245" s="126">
        <f>G246</f>
        <v>67.4</v>
      </c>
    </row>
    <row r="246" spans="1:7" ht="12.75">
      <c r="A246" s="25" t="s">
        <v>17</v>
      </c>
      <c r="B246" s="25" t="s">
        <v>43</v>
      </c>
      <c r="C246" s="3">
        <v>9930000</v>
      </c>
      <c r="D246" s="8"/>
      <c r="E246" s="24" t="s">
        <v>408</v>
      </c>
      <c r="F246" s="51">
        <f aca="true" t="shared" si="17" ref="F246:G247">F247</f>
        <v>67.4</v>
      </c>
      <c r="G246" s="126">
        <f t="shared" si="17"/>
        <v>67.4</v>
      </c>
    </row>
    <row r="247" spans="1:7" ht="12.75">
      <c r="A247" s="25" t="s">
        <v>17</v>
      </c>
      <c r="B247" s="25" t="s">
        <v>43</v>
      </c>
      <c r="C247" s="3">
        <v>9931000</v>
      </c>
      <c r="D247" s="8"/>
      <c r="E247" s="24" t="s">
        <v>167</v>
      </c>
      <c r="F247" s="51">
        <f t="shared" si="17"/>
        <v>67.4</v>
      </c>
      <c r="G247" s="126">
        <f t="shared" si="17"/>
        <v>67.4</v>
      </c>
    </row>
    <row r="248" spans="1:7" ht="12.75">
      <c r="A248" s="25" t="s">
        <v>17</v>
      </c>
      <c r="B248" s="25" t="s">
        <v>43</v>
      </c>
      <c r="C248" s="3">
        <v>9931000</v>
      </c>
      <c r="D248" s="8" t="s">
        <v>58</v>
      </c>
      <c r="E248" s="24" t="s">
        <v>59</v>
      </c>
      <c r="F248" s="51">
        <f>9+15.3+43.1</f>
        <v>67.4</v>
      </c>
      <c r="G248" s="126">
        <v>67.4</v>
      </c>
    </row>
    <row r="249" spans="1:7" ht="33.6">
      <c r="A249" s="25" t="s">
        <v>17</v>
      </c>
      <c r="B249" s="25" t="s">
        <v>47</v>
      </c>
      <c r="C249" s="8"/>
      <c r="D249" s="67"/>
      <c r="E249" s="9" t="s">
        <v>369</v>
      </c>
      <c r="F249" s="51">
        <f aca="true" t="shared" si="18" ref="F249:G253">F250</f>
        <v>339.6</v>
      </c>
      <c r="G249" s="126">
        <f t="shared" si="18"/>
        <v>339.6</v>
      </c>
    </row>
    <row r="250" spans="1:7" ht="33.6">
      <c r="A250" s="25" t="s">
        <v>17</v>
      </c>
      <c r="B250" s="25" t="s">
        <v>117</v>
      </c>
      <c r="C250" s="8"/>
      <c r="D250" s="67"/>
      <c r="E250" s="9" t="s">
        <v>48</v>
      </c>
      <c r="F250" s="51">
        <f t="shared" si="18"/>
        <v>339.6</v>
      </c>
      <c r="G250" s="126">
        <f t="shared" si="18"/>
        <v>339.6</v>
      </c>
    </row>
    <row r="251" spans="1:7" ht="50.4">
      <c r="A251" s="25" t="s">
        <v>17</v>
      </c>
      <c r="B251" s="25" t="s">
        <v>117</v>
      </c>
      <c r="C251" s="8" t="s">
        <v>359</v>
      </c>
      <c r="D251" s="67"/>
      <c r="E251" s="9" t="s">
        <v>358</v>
      </c>
      <c r="F251" s="51">
        <f t="shared" si="18"/>
        <v>339.6</v>
      </c>
      <c r="G251" s="126">
        <f t="shared" si="18"/>
        <v>339.6</v>
      </c>
    </row>
    <row r="252" spans="1:7" ht="50.4">
      <c r="A252" s="25" t="s">
        <v>17</v>
      </c>
      <c r="B252" s="25" t="s">
        <v>117</v>
      </c>
      <c r="C252" s="8" t="s">
        <v>119</v>
      </c>
      <c r="D252" s="67"/>
      <c r="E252" s="9" t="s">
        <v>118</v>
      </c>
      <c r="F252" s="51">
        <f t="shared" si="18"/>
        <v>339.6</v>
      </c>
      <c r="G252" s="126">
        <f t="shared" si="18"/>
        <v>339.6</v>
      </c>
    </row>
    <row r="253" spans="1:7" ht="12.75">
      <c r="A253" s="25" t="s">
        <v>17</v>
      </c>
      <c r="B253" s="25" t="s">
        <v>117</v>
      </c>
      <c r="C253" s="8" t="s">
        <v>120</v>
      </c>
      <c r="D253" s="67"/>
      <c r="E253" s="9" t="s">
        <v>121</v>
      </c>
      <c r="F253" s="51">
        <f t="shared" si="18"/>
        <v>339.6</v>
      </c>
      <c r="G253" s="126">
        <f t="shared" si="18"/>
        <v>339.6</v>
      </c>
    </row>
    <row r="254" spans="1:7" ht="33.6">
      <c r="A254" s="25" t="s">
        <v>17</v>
      </c>
      <c r="B254" s="25" t="s">
        <v>117</v>
      </c>
      <c r="C254" s="8" t="s">
        <v>120</v>
      </c>
      <c r="D254" s="67">
        <v>700</v>
      </c>
      <c r="E254" s="9" t="s">
        <v>122</v>
      </c>
      <c r="F254" s="51">
        <f>2000-579.6-1080.7-0.1</f>
        <v>339.6</v>
      </c>
      <c r="G254" s="126">
        <v>339.6</v>
      </c>
    </row>
    <row r="255" spans="1:7" ht="50.4">
      <c r="A255" s="26" t="s">
        <v>15</v>
      </c>
      <c r="B255" s="25"/>
      <c r="C255" s="26"/>
      <c r="D255" s="26"/>
      <c r="E255" s="27" t="s">
        <v>351</v>
      </c>
      <c r="F255" s="52">
        <f>F256+F272+F278</f>
        <v>25772.899999999998</v>
      </c>
      <c r="G255" s="52">
        <f>G256+G272+G278</f>
        <v>19599.6</v>
      </c>
    </row>
    <row r="256" spans="1:7" ht="12.75">
      <c r="A256" s="25" t="s">
        <v>15</v>
      </c>
      <c r="B256" s="25" t="s">
        <v>37</v>
      </c>
      <c r="C256" s="25"/>
      <c r="D256" s="25"/>
      <c r="E256" s="23" t="s">
        <v>386</v>
      </c>
      <c r="F256" s="51">
        <f aca="true" t="shared" si="19" ref="F256:G257">F257</f>
        <v>19065.1</v>
      </c>
      <c r="G256" s="126">
        <f t="shared" si="19"/>
        <v>12902.099999999999</v>
      </c>
    </row>
    <row r="257" spans="1:7" ht="12.75">
      <c r="A257" s="25" t="s">
        <v>15</v>
      </c>
      <c r="B257" s="25" t="s">
        <v>43</v>
      </c>
      <c r="C257" s="25"/>
      <c r="D257" s="25"/>
      <c r="E257" s="9" t="s">
        <v>3</v>
      </c>
      <c r="F257" s="51">
        <f t="shared" si="19"/>
        <v>19065.1</v>
      </c>
      <c r="G257" s="126">
        <f t="shared" si="19"/>
        <v>12902.099999999999</v>
      </c>
    </row>
    <row r="258" spans="1:7" ht="67.2">
      <c r="A258" s="25" t="s">
        <v>15</v>
      </c>
      <c r="B258" s="25" t="s">
        <v>43</v>
      </c>
      <c r="C258" s="25" t="s">
        <v>159</v>
      </c>
      <c r="D258" s="25"/>
      <c r="E258" s="23" t="s">
        <v>160</v>
      </c>
      <c r="F258" s="51">
        <f>F259+F268</f>
        <v>19065.1</v>
      </c>
      <c r="G258" s="126">
        <f>G259+G268</f>
        <v>12902.099999999999</v>
      </c>
    </row>
    <row r="259" spans="1:7" ht="50.4">
      <c r="A259" s="25" t="s">
        <v>15</v>
      </c>
      <c r="B259" s="25" t="s">
        <v>43</v>
      </c>
      <c r="C259" s="25" t="s">
        <v>161</v>
      </c>
      <c r="D259" s="25"/>
      <c r="E259" s="23" t="s">
        <v>162</v>
      </c>
      <c r="F259" s="51">
        <f>F260+F262+F264+F266</f>
        <v>13702.3</v>
      </c>
      <c r="G259" s="126">
        <f>G260+G262+G264+G266</f>
        <v>7546.9</v>
      </c>
    </row>
    <row r="260" spans="1:7" ht="33.6">
      <c r="A260" s="25" t="s">
        <v>15</v>
      </c>
      <c r="B260" s="25" t="s">
        <v>43</v>
      </c>
      <c r="C260" s="25" t="s">
        <v>163</v>
      </c>
      <c r="D260" s="25"/>
      <c r="E260" s="23" t="s">
        <v>164</v>
      </c>
      <c r="F260" s="51">
        <f>F261</f>
        <v>957.2000000000003</v>
      </c>
      <c r="G260" s="126">
        <f>G261</f>
        <v>906.4</v>
      </c>
    </row>
    <row r="261" spans="1:7" ht="33.6">
      <c r="A261" s="25" t="s">
        <v>15</v>
      </c>
      <c r="B261" s="25" t="s">
        <v>43</v>
      </c>
      <c r="C261" s="25" t="s">
        <v>163</v>
      </c>
      <c r="D261" s="67" t="s">
        <v>56</v>
      </c>
      <c r="E261" s="9" t="s">
        <v>57</v>
      </c>
      <c r="F261" s="51">
        <f>2861.8-465.5-1440.3+1.1+0.1</f>
        <v>957.2000000000003</v>
      </c>
      <c r="G261" s="126">
        <v>906.4</v>
      </c>
    </row>
    <row r="262" spans="1:7" ht="42" customHeight="1">
      <c r="A262" s="25" t="s">
        <v>15</v>
      </c>
      <c r="B262" s="25" t="s">
        <v>43</v>
      </c>
      <c r="C262" s="25" t="s">
        <v>165</v>
      </c>
      <c r="D262" s="25"/>
      <c r="E262" s="23" t="s">
        <v>166</v>
      </c>
      <c r="F262" s="51">
        <f>F263</f>
        <v>313</v>
      </c>
      <c r="G262" s="126">
        <f>G263</f>
        <v>295.7</v>
      </c>
    </row>
    <row r="263" spans="1:7" ht="33.6">
      <c r="A263" s="25" t="s">
        <v>15</v>
      </c>
      <c r="B263" s="25" t="s">
        <v>43</v>
      </c>
      <c r="C263" s="25" t="s">
        <v>165</v>
      </c>
      <c r="D263" s="67" t="s">
        <v>56</v>
      </c>
      <c r="E263" s="9" t="s">
        <v>57</v>
      </c>
      <c r="F263" s="51">
        <f>208+105</f>
        <v>313</v>
      </c>
      <c r="G263" s="126">
        <v>295.7</v>
      </c>
    </row>
    <row r="264" spans="1:7" ht="12.75">
      <c r="A264" s="25" t="s">
        <v>15</v>
      </c>
      <c r="B264" s="25" t="s">
        <v>43</v>
      </c>
      <c r="C264" s="8" t="s">
        <v>168</v>
      </c>
      <c r="D264" s="8"/>
      <c r="E264" s="56" t="s">
        <v>167</v>
      </c>
      <c r="F264" s="51">
        <f>F265</f>
        <v>6380.699999999999</v>
      </c>
      <c r="G264" s="126">
        <f>G265</f>
        <v>6344.8</v>
      </c>
    </row>
    <row r="265" spans="1:7" ht="12.75">
      <c r="A265" s="25" t="s">
        <v>15</v>
      </c>
      <c r="B265" s="25" t="s">
        <v>43</v>
      </c>
      <c r="C265" s="8" t="s">
        <v>168</v>
      </c>
      <c r="D265" s="8" t="s">
        <v>58</v>
      </c>
      <c r="E265" s="24" t="s">
        <v>59</v>
      </c>
      <c r="F265" s="51">
        <f>561+2829.7+1302.2+1646.6+42.4-1.1-0.1</f>
        <v>6380.699999999999</v>
      </c>
      <c r="G265" s="126">
        <v>6344.8</v>
      </c>
    </row>
    <row r="266" spans="1:7" ht="100.8">
      <c r="A266" s="25" t="s">
        <v>15</v>
      </c>
      <c r="B266" s="25" t="s">
        <v>43</v>
      </c>
      <c r="C266" s="8" t="s">
        <v>440</v>
      </c>
      <c r="D266" s="67"/>
      <c r="E266" s="9" t="s">
        <v>441</v>
      </c>
      <c r="F266" s="89">
        <f>F267</f>
        <v>6051.4</v>
      </c>
      <c r="G266" s="126">
        <f>G267</f>
        <v>0</v>
      </c>
    </row>
    <row r="267" spans="1:7" ht="33.6">
      <c r="A267" s="25" t="s">
        <v>15</v>
      </c>
      <c r="B267" s="25" t="s">
        <v>43</v>
      </c>
      <c r="C267" s="8" t="s">
        <v>440</v>
      </c>
      <c r="D267" s="67" t="s">
        <v>56</v>
      </c>
      <c r="E267" s="9" t="s">
        <v>57</v>
      </c>
      <c r="F267" s="89">
        <v>6051.4</v>
      </c>
      <c r="G267" s="126">
        <v>0</v>
      </c>
    </row>
    <row r="268" spans="1:7" ht="12.75">
      <c r="A268" s="25" t="s">
        <v>15</v>
      </c>
      <c r="B268" s="25" t="s">
        <v>43</v>
      </c>
      <c r="C268" s="8" t="s">
        <v>169</v>
      </c>
      <c r="D268" s="8"/>
      <c r="E268" s="24" t="s">
        <v>343</v>
      </c>
      <c r="F268" s="51">
        <f>F269</f>
        <v>5362.8</v>
      </c>
      <c r="G268" s="126">
        <f>G269</f>
        <v>5355.2</v>
      </c>
    </row>
    <row r="269" spans="1:7" ht="84">
      <c r="A269" s="25" t="s">
        <v>15</v>
      </c>
      <c r="B269" s="25" t="s">
        <v>43</v>
      </c>
      <c r="C269" s="8" t="s">
        <v>170</v>
      </c>
      <c r="D269" s="8"/>
      <c r="E269" s="24" t="s">
        <v>63</v>
      </c>
      <c r="F269" s="51">
        <f>F270+F271</f>
        <v>5362.8</v>
      </c>
      <c r="G269" s="126">
        <f>G270+G271</f>
        <v>5355.2</v>
      </c>
    </row>
    <row r="270" spans="1:7" ht="84">
      <c r="A270" s="25" t="s">
        <v>15</v>
      </c>
      <c r="B270" s="25" t="s">
        <v>43</v>
      </c>
      <c r="C270" s="8" t="s">
        <v>170</v>
      </c>
      <c r="D270" s="67" t="s">
        <v>55</v>
      </c>
      <c r="E270" s="9" t="s">
        <v>346</v>
      </c>
      <c r="F270" s="51">
        <f>4938.3+65.6+55.9-0.1</f>
        <v>5059.7</v>
      </c>
      <c r="G270" s="126">
        <v>5059.7</v>
      </c>
    </row>
    <row r="271" spans="1:7" ht="33.6">
      <c r="A271" s="25" t="s">
        <v>15</v>
      </c>
      <c r="B271" s="25" t="s">
        <v>43</v>
      </c>
      <c r="C271" s="8" t="s">
        <v>170</v>
      </c>
      <c r="D271" s="67" t="s">
        <v>56</v>
      </c>
      <c r="E271" s="9" t="s">
        <v>57</v>
      </c>
      <c r="F271" s="51">
        <f>229.2+73.9</f>
        <v>303.1</v>
      </c>
      <c r="G271" s="126">
        <v>295.5</v>
      </c>
    </row>
    <row r="272" spans="1:7" ht="12.75">
      <c r="A272" s="25" t="s">
        <v>15</v>
      </c>
      <c r="B272" s="25" t="s">
        <v>39</v>
      </c>
      <c r="C272" s="25"/>
      <c r="D272" s="25"/>
      <c r="E272" s="9" t="s">
        <v>5</v>
      </c>
      <c r="F272" s="51">
        <f aca="true" t="shared" si="20" ref="F272:G276">F273</f>
        <v>286.3</v>
      </c>
      <c r="G272" s="126">
        <f t="shared" si="20"/>
        <v>276.3</v>
      </c>
    </row>
    <row r="273" spans="1:7" ht="12.75">
      <c r="A273" s="25" t="s">
        <v>15</v>
      </c>
      <c r="B273" s="25" t="s">
        <v>30</v>
      </c>
      <c r="C273" s="25"/>
      <c r="D273" s="25"/>
      <c r="E273" s="9" t="s">
        <v>6</v>
      </c>
      <c r="F273" s="51">
        <f t="shared" si="20"/>
        <v>286.3</v>
      </c>
      <c r="G273" s="126">
        <f t="shared" si="20"/>
        <v>276.3</v>
      </c>
    </row>
    <row r="274" spans="1:7" ht="67.2">
      <c r="A274" s="25" t="s">
        <v>15</v>
      </c>
      <c r="B274" s="25" t="s">
        <v>30</v>
      </c>
      <c r="C274" s="8" t="s">
        <v>159</v>
      </c>
      <c r="D274" s="67"/>
      <c r="E274" s="9" t="s">
        <v>160</v>
      </c>
      <c r="F274" s="51">
        <f t="shared" si="20"/>
        <v>286.3</v>
      </c>
      <c r="G274" s="126">
        <f t="shared" si="20"/>
        <v>276.3</v>
      </c>
    </row>
    <row r="275" spans="1:7" ht="50.4">
      <c r="A275" s="25" t="s">
        <v>15</v>
      </c>
      <c r="B275" s="25" t="s">
        <v>30</v>
      </c>
      <c r="C275" s="8" t="s">
        <v>161</v>
      </c>
      <c r="D275" s="67"/>
      <c r="E275" s="9" t="s">
        <v>162</v>
      </c>
      <c r="F275" s="51">
        <f t="shared" si="20"/>
        <v>286.3</v>
      </c>
      <c r="G275" s="126">
        <f t="shared" si="20"/>
        <v>276.3</v>
      </c>
    </row>
    <row r="276" spans="1:7" ht="33.6">
      <c r="A276" s="25" t="s">
        <v>15</v>
      </c>
      <c r="B276" s="25" t="s">
        <v>30</v>
      </c>
      <c r="C276" s="8" t="s">
        <v>172</v>
      </c>
      <c r="D276" s="67"/>
      <c r="E276" s="9" t="s">
        <v>171</v>
      </c>
      <c r="F276" s="51">
        <f t="shared" si="20"/>
        <v>286.3</v>
      </c>
      <c r="G276" s="126">
        <f t="shared" si="20"/>
        <v>276.3</v>
      </c>
    </row>
    <row r="277" spans="1:7" ht="33.6">
      <c r="A277" s="25" t="s">
        <v>15</v>
      </c>
      <c r="B277" s="25" t="s">
        <v>30</v>
      </c>
      <c r="C277" s="8" t="s">
        <v>172</v>
      </c>
      <c r="D277" s="67" t="s">
        <v>56</v>
      </c>
      <c r="E277" s="9" t="s">
        <v>57</v>
      </c>
      <c r="F277" s="51">
        <f>500-213.7</f>
        <v>286.3</v>
      </c>
      <c r="G277" s="126">
        <v>276.3</v>
      </c>
    </row>
    <row r="278" spans="1:7" ht="12.75">
      <c r="A278" s="25" t="s">
        <v>15</v>
      </c>
      <c r="B278" s="25" t="s">
        <v>21</v>
      </c>
      <c r="C278" s="8"/>
      <c r="D278" s="67"/>
      <c r="E278" s="9" t="s">
        <v>13</v>
      </c>
      <c r="F278" s="51">
        <f aca="true" t="shared" si="21" ref="F278:G280">F279</f>
        <v>6421.5</v>
      </c>
      <c r="G278" s="126">
        <f t="shared" si="21"/>
        <v>6421.2</v>
      </c>
    </row>
    <row r="279" spans="1:7" ht="12.75">
      <c r="A279" s="25" t="s">
        <v>15</v>
      </c>
      <c r="B279" s="25" t="s">
        <v>108</v>
      </c>
      <c r="C279" s="8"/>
      <c r="D279" s="67"/>
      <c r="E279" s="9" t="s">
        <v>109</v>
      </c>
      <c r="F279" s="51">
        <f t="shared" si="21"/>
        <v>6421.5</v>
      </c>
      <c r="G279" s="126">
        <f t="shared" si="21"/>
        <v>6421.2</v>
      </c>
    </row>
    <row r="280" spans="1:7" ht="67.2">
      <c r="A280" s="25" t="s">
        <v>15</v>
      </c>
      <c r="B280" s="25" t="s">
        <v>108</v>
      </c>
      <c r="C280" s="8" t="s">
        <v>175</v>
      </c>
      <c r="D280" s="67"/>
      <c r="E280" s="9" t="s">
        <v>173</v>
      </c>
      <c r="F280" s="61">
        <f t="shared" si="21"/>
        <v>6421.5</v>
      </c>
      <c r="G280" s="126">
        <f t="shared" si="21"/>
        <v>6421.2</v>
      </c>
    </row>
    <row r="281" spans="1:7" ht="33.6">
      <c r="A281" s="25" t="s">
        <v>15</v>
      </c>
      <c r="B281" s="25" t="s">
        <v>108</v>
      </c>
      <c r="C281" s="8" t="s">
        <v>176</v>
      </c>
      <c r="D281" s="8"/>
      <c r="E281" s="56" t="s">
        <v>174</v>
      </c>
      <c r="F281" s="61">
        <f>F282+F284</f>
        <v>6421.5</v>
      </c>
      <c r="G281" s="126">
        <f>G282+G284</f>
        <v>6421.2</v>
      </c>
    </row>
    <row r="282" spans="1:7" ht="67.2">
      <c r="A282" s="25" t="s">
        <v>15</v>
      </c>
      <c r="B282" s="25" t="s">
        <v>108</v>
      </c>
      <c r="C282" s="8" t="s">
        <v>178</v>
      </c>
      <c r="D282" s="8"/>
      <c r="E282" s="56" t="s">
        <v>177</v>
      </c>
      <c r="F282" s="51">
        <f>F283</f>
        <v>2140.5</v>
      </c>
      <c r="G282" s="126">
        <f>G283</f>
        <v>2140.5</v>
      </c>
    </row>
    <row r="283" spans="1:7" ht="12.75">
      <c r="A283" s="25" t="s">
        <v>15</v>
      </c>
      <c r="B283" s="25" t="s">
        <v>108</v>
      </c>
      <c r="C283" s="8" t="s">
        <v>178</v>
      </c>
      <c r="D283" s="15" t="s">
        <v>61</v>
      </c>
      <c r="E283" s="9" t="s">
        <v>62</v>
      </c>
      <c r="F283" s="51">
        <v>2140.5</v>
      </c>
      <c r="G283" s="126">
        <v>2140.5</v>
      </c>
    </row>
    <row r="284" spans="1:7" ht="84">
      <c r="A284" s="25" t="s">
        <v>15</v>
      </c>
      <c r="B284" s="25" t="s">
        <v>108</v>
      </c>
      <c r="C284" s="8" t="s">
        <v>300</v>
      </c>
      <c r="D284" s="15"/>
      <c r="E284" s="56" t="s">
        <v>338</v>
      </c>
      <c r="F284" s="51">
        <f>F285</f>
        <v>4281</v>
      </c>
      <c r="G284" s="126">
        <f>G285</f>
        <v>4280.7</v>
      </c>
    </row>
    <row r="285" spans="1:7" ht="12.75">
      <c r="A285" s="25" t="s">
        <v>15</v>
      </c>
      <c r="B285" s="25" t="s">
        <v>108</v>
      </c>
      <c r="C285" s="8" t="s">
        <v>300</v>
      </c>
      <c r="D285" s="15" t="s">
        <v>61</v>
      </c>
      <c r="E285" s="9" t="s">
        <v>62</v>
      </c>
      <c r="F285" s="51">
        <v>4281</v>
      </c>
      <c r="G285" s="126">
        <v>4280.7</v>
      </c>
    </row>
    <row r="286" spans="1:7" ht="12.75">
      <c r="A286" s="26" t="s">
        <v>379</v>
      </c>
      <c r="B286" s="25"/>
      <c r="C286" s="26"/>
      <c r="D286" s="26"/>
      <c r="E286" s="27" t="s">
        <v>350</v>
      </c>
      <c r="F286" s="52">
        <f aca="true" t="shared" si="22" ref="F286:G289">F287</f>
        <v>4487</v>
      </c>
      <c r="G286" s="52">
        <f t="shared" si="22"/>
        <v>4440.7</v>
      </c>
    </row>
    <row r="287" spans="1:7" ht="12.75">
      <c r="A287" s="25" t="s">
        <v>379</v>
      </c>
      <c r="B287" s="43" t="s">
        <v>37</v>
      </c>
      <c r="C287" s="25"/>
      <c r="D287" s="25"/>
      <c r="E287" s="23" t="s">
        <v>386</v>
      </c>
      <c r="F287" s="51">
        <f t="shared" si="22"/>
        <v>4487</v>
      </c>
      <c r="G287" s="126">
        <f t="shared" si="22"/>
        <v>4440.7</v>
      </c>
    </row>
    <row r="288" spans="1:7" ht="56.4" customHeight="1">
      <c r="A288" s="43" t="s">
        <v>379</v>
      </c>
      <c r="B288" s="43" t="s">
        <v>26</v>
      </c>
      <c r="C288" s="43"/>
      <c r="D288" s="29"/>
      <c r="E288" s="9" t="s">
        <v>1</v>
      </c>
      <c r="F288" s="51">
        <f t="shared" si="22"/>
        <v>4487</v>
      </c>
      <c r="G288" s="126">
        <f t="shared" si="22"/>
        <v>4440.7</v>
      </c>
    </row>
    <row r="289" spans="1:7" ht="23.4" customHeight="1">
      <c r="A289" s="43" t="s">
        <v>379</v>
      </c>
      <c r="B289" s="43" t="s">
        <v>26</v>
      </c>
      <c r="C289" s="3">
        <v>9900000</v>
      </c>
      <c r="D289" s="68"/>
      <c r="E289" s="24" t="s">
        <v>352</v>
      </c>
      <c r="F289" s="51">
        <f t="shared" si="22"/>
        <v>4487</v>
      </c>
      <c r="G289" s="126">
        <f t="shared" si="22"/>
        <v>4440.7</v>
      </c>
    </row>
    <row r="290" spans="1:7" ht="50.4">
      <c r="A290" s="43" t="s">
        <v>379</v>
      </c>
      <c r="B290" s="43" t="s">
        <v>26</v>
      </c>
      <c r="C290" s="3">
        <v>9990000</v>
      </c>
      <c r="D290" s="8" t="s">
        <v>53</v>
      </c>
      <c r="E290" s="24" t="s">
        <v>353</v>
      </c>
      <c r="F290" s="51">
        <f>F291+F293</f>
        <v>4487</v>
      </c>
      <c r="G290" s="126">
        <f>G291+G293</f>
        <v>4440.7</v>
      </c>
    </row>
    <row r="291" spans="1:7" ht="12.75">
      <c r="A291" s="43" t="s">
        <v>379</v>
      </c>
      <c r="B291" s="43" t="s">
        <v>26</v>
      </c>
      <c r="C291" s="3">
        <v>9999410</v>
      </c>
      <c r="D291" s="8" t="s">
        <v>53</v>
      </c>
      <c r="E291" s="24" t="s">
        <v>354</v>
      </c>
      <c r="F291" s="51">
        <f>F292</f>
        <v>1201.9</v>
      </c>
      <c r="G291" s="126">
        <f>G292</f>
        <v>1199.5</v>
      </c>
    </row>
    <row r="292" spans="1:7" ht="84">
      <c r="A292" s="43" t="s">
        <v>379</v>
      </c>
      <c r="B292" s="43" t="s">
        <v>26</v>
      </c>
      <c r="C292" s="3">
        <v>9999410</v>
      </c>
      <c r="D292" s="67" t="s">
        <v>55</v>
      </c>
      <c r="E292" s="9" t="s">
        <v>346</v>
      </c>
      <c r="F292" s="51">
        <f>1198.9+3</f>
        <v>1201.9</v>
      </c>
      <c r="G292" s="126">
        <v>1199.5</v>
      </c>
    </row>
    <row r="293" spans="1:7" ht="50.4">
      <c r="A293" s="43" t="s">
        <v>379</v>
      </c>
      <c r="B293" s="43" t="s">
        <v>26</v>
      </c>
      <c r="C293" s="3">
        <v>9999420</v>
      </c>
      <c r="D293" s="8" t="s">
        <v>53</v>
      </c>
      <c r="E293" s="24" t="s">
        <v>355</v>
      </c>
      <c r="F293" s="51">
        <f>F294+F295+F296</f>
        <v>3285.1</v>
      </c>
      <c r="G293" s="126">
        <f>G294+G295+G296</f>
        <v>3241.2</v>
      </c>
    </row>
    <row r="294" spans="1:7" ht="84">
      <c r="A294" s="43" t="s">
        <v>379</v>
      </c>
      <c r="B294" s="43" t="s">
        <v>26</v>
      </c>
      <c r="C294" s="3">
        <v>9999420</v>
      </c>
      <c r="D294" s="67" t="s">
        <v>55</v>
      </c>
      <c r="E294" s="9" t="s">
        <v>346</v>
      </c>
      <c r="F294" s="51">
        <f>1928.8+42.5</f>
        <v>1971.3</v>
      </c>
      <c r="G294" s="126">
        <v>1938.3</v>
      </c>
    </row>
    <row r="295" spans="1:7" ht="33.6">
      <c r="A295" s="43" t="s">
        <v>379</v>
      </c>
      <c r="B295" s="43" t="s">
        <v>26</v>
      </c>
      <c r="C295" s="3">
        <v>9999420</v>
      </c>
      <c r="D295" s="67" t="s">
        <v>56</v>
      </c>
      <c r="E295" s="9" t="s">
        <v>57</v>
      </c>
      <c r="F295" s="51">
        <f>740.4+26+432.2-0.7+200-85.6-2</f>
        <v>1310.3</v>
      </c>
      <c r="G295" s="126">
        <v>1299.9</v>
      </c>
    </row>
    <row r="296" spans="1:7" ht="12.75">
      <c r="A296" s="43" t="s">
        <v>379</v>
      </c>
      <c r="B296" s="43" t="s">
        <v>26</v>
      </c>
      <c r="C296" s="3">
        <v>9999420</v>
      </c>
      <c r="D296" s="67" t="s">
        <v>58</v>
      </c>
      <c r="E296" s="9" t="s">
        <v>59</v>
      </c>
      <c r="F296" s="51">
        <f>0.3+0.5+0.7+2</f>
        <v>3.5</v>
      </c>
      <c r="G296" s="126">
        <v>3</v>
      </c>
    </row>
    <row r="297" spans="1:7" ht="50.4">
      <c r="A297" s="26" t="s">
        <v>362</v>
      </c>
      <c r="B297" s="43"/>
      <c r="C297" s="26"/>
      <c r="D297" s="26"/>
      <c r="E297" s="27" t="s">
        <v>367</v>
      </c>
      <c r="F297" s="52">
        <f>F304+F346+F298+F336</f>
        <v>37621.3</v>
      </c>
      <c r="G297" s="52">
        <f>G304+G346+G298+G336</f>
        <v>36076.6</v>
      </c>
    </row>
    <row r="298" spans="1:7" ht="12.75">
      <c r="A298" s="43" t="s">
        <v>362</v>
      </c>
      <c r="B298" s="25" t="s">
        <v>39</v>
      </c>
      <c r="C298" s="43"/>
      <c r="D298" s="15"/>
      <c r="E298" s="9" t="s">
        <v>5</v>
      </c>
      <c r="F298" s="51">
        <f aca="true" t="shared" si="23" ref="F298:G302">F299</f>
        <v>40</v>
      </c>
      <c r="G298" s="126">
        <f t="shared" si="23"/>
        <v>40</v>
      </c>
    </row>
    <row r="299" spans="1:7" ht="12.75">
      <c r="A299" s="43" t="s">
        <v>362</v>
      </c>
      <c r="B299" s="25" t="s">
        <v>30</v>
      </c>
      <c r="C299" s="43"/>
      <c r="D299" s="15"/>
      <c r="E299" s="9" t="s">
        <v>6</v>
      </c>
      <c r="F299" s="51">
        <f t="shared" si="23"/>
        <v>40</v>
      </c>
      <c r="G299" s="126">
        <f t="shared" si="23"/>
        <v>40</v>
      </c>
    </row>
    <row r="300" spans="1:7" ht="67.2">
      <c r="A300" s="43" t="s">
        <v>362</v>
      </c>
      <c r="B300" s="25" t="s">
        <v>30</v>
      </c>
      <c r="C300" s="43" t="s">
        <v>242</v>
      </c>
      <c r="D300" s="15"/>
      <c r="E300" s="9" t="s">
        <v>243</v>
      </c>
      <c r="F300" s="51">
        <f t="shared" si="23"/>
        <v>40</v>
      </c>
      <c r="G300" s="126">
        <f t="shared" si="23"/>
        <v>40</v>
      </c>
    </row>
    <row r="301" spans="1:7" ht="50.4">
      <c r="A301" s="43" t="s">
        <v>362</v>
      </c>
      <c r="B301" s="25" t="s">
        <v>30</v>
      </c>
      <c r="C301" s="8" t="s">
        <v>245</v>
      </c>
      <c r="D301" s="8"/>
      <c r="E301" s="56" t="s">
        <v>244</v>
      </c>
      <c r="F301" s="51">
        <f t="shared" si="23"/>
        <v>40</v>
      </c>
      <c r="G301" s="126">
        <f t="shared" si="23"/>
        <v>40</v>
      </c>
    </row>
    <row r="302" spans="1:7" ht="117.6">
      <c r="A302" s="43" t="s">
        <v>362</v>
      </c>
      <c r="B302" s="25" t="s">
        <v>30</v>
      </c>
      <c r="C302" s="8" t="s">
        <v>257</v>
      </c>
      <c r="D302" s="8"/>
      <c r="E302" s="56" t="s">
        <v>256</v>
      </c>
      <c r="F302" s="51">
        <f t="shared" si="23"/>
        <v>40</v>
      </c>
      <c r="G302" s="126">
        <f t="shared" si="23"/>
        <v>40</v>
      </c>
    </row>
    <row r="303" spans="1:7" ht="33.6">
      <c r="A303" s="43" t="s">
        <v>362</v>
      </c>
      <c r="B303" s="25" t="s">
        <v>30</v>
      </c>
      <c r="C303" s="8" t="s">
        <v>257</v>
      </c>
      <c r="D303" s="15">
        <v>600</v>
      </c>
      <c r="E303" s="9" t="s">
        <v>87</v>
      </c>
      <c r="F303" s="51">
        <v>40</v>
      </c>
      <c r="G303" s="126">
        <v>40</v>
      </c>
    </row>
    <row r="304" spans="1:7" ht="12.75">
      <c r="A304" s="43" t="s">
        <v>362</v>
      </c>
      <c r="B304" s="43" t="s">
        <v>19</v>
      </c>
      <c r="C304" s="43"/>
      <c r="D304" s="29"/>
      <c r="E304" s="30" t="s">
        <v>10</v>
      </c>
      <c r="F304" s="51">
        <f>F305+F312</f>
        <v>18345.5</v>
      </c>
      <c r="G304" s="126">
        <f>G305+G312</f>
        <v>18016.7</v>
      </c>
    </row>
    <row r="305" spans="1:7" ht="12.75">
      <c r="A305" s="43" t="s">
        <v>362</v>
      </c>
      <c r="B305" s="43" t="s">
        <v>34</v>
      </c>
      <c r="C305" s="43"/>
      <c r="D305" s="29"/>
      <c r="E305" s="30" t="s">
        <v>373</v>
      </c>
      <c r="F305" s="51">
        <f aca="true" t="shared" si="24" ref="F305:G306">F306</f>
        <v>13036.6</v>
      </c>
      <c r="G305" s="126">
        <f t="shared" si="24"/>
        <v>12707.800000000001</v>
      </c>
    </row>
    <row r="306" spans="1:7" ht="67.2">
      <c r="A306" s="43" t="s">
        <v>362</v>
      </c>
      <c r="B306" s="43" t="s">
        <v>34</v>
      </c>
      <c r="C306" s="43" t="s">
        <v>143</v>
      </c>
      <c r="D306" s="29"/>
      <c r="E306" s="9" t="s">
        <v>142</v>
      </c>
      <c r="F306" s="51">
        <f t="shared" si="24"/>
        <v>13036.6</v>
      </c>
      <c r="G306" s="126">
        <f t="shared" si="24"/>
        <v>12707.800000000001</v>
      </c>
    </row>
    <row r="307" spans="1:7" ht="33.6">
      <c r="A307" s="43" t="s">
        <v>362</v>
      </c>
      <c r="B307" s="43" t="s">
        <v>34</v>
      </c>
      <c r="C307" s="43" t="s">
        <v>145</v>
      </c>
      <c r="D307" s="29"/>
      <c r="E307" s="9" t="s">
        <v>144</v>
      </c>
      <c r="F307" s="51">
        <f>F308+F310</f>
        <v>13036.6</v>
      </c>
      <c r="G307" s="126">
        <f>G308+G310</f>
        <v>12707.800000000001</v>
      </c>
    </row>
    <row r="308" spans="1:7" ht="67.2">
      <c r="A308" s="43" t="s">
        <v>362</v>
      </c>
      <c r="B308" s="43" t="s">
        <v>34</v>
      </c>
      <c r="C308" s="43" t="s">
        <v>147</v>
      </c>
      <c r="D308" s="29"/>
      <c r="E308" s="9" t="s">
        <v>146</v>
      </c>
      <c r="F308" s="51">
        <f>F309</f>
        <v>12921.5</v>
      </c>
      <c r="G308" s="126">
        <f>G309</f>
        <v>12592.7</v>
      </c>
    </row>
    <row r="309" spans="1:7" ht="33.6">
      <c r="A309" s="43" t="s">
        <v>362</v>
      </c>
      <c r="B309" s="43" t="s">
        <v>34</v>
      </c>
      <c r="C309" s="43" t="s">
        <v>147</v>
      </c>
      <c r="D309" s="15">
        <v>600</v>
      </c>
      <c r="E309" s="9" t="s">
        <v>87</v>
      </c>
      <c r="F309" s="51">
        <f>13036.6-115.1</f>
        <v>12921.5</v>
      </c>
      <c r="G309" s="126">
        <v>12592.7</v>
      </c>
    </row>
    <row r="310" spans="1:7" ht="50.4">
      <c r="A310" s="115" t="s">
        <v>362</v>
      </c>
      <c r="B310" s="115" t="s">
        <v>34</v>
      </c>
      <c r="C310" s="115" t="s">
        <v>499</v>
      </c>
      <c r="D310" s="116"/>
      <c r="E310" s="9" t="s">
        <v>500</v>
      </c>
      <c r="F310" s="114">
        <f>F311</f>
        <v>115.1</v>
      </c>
      <c r="G310" s="126">
        <f>G311</f>
        <v>115.1</v>
      </c>
    </row>
    <row r="311" spans="1:7" ht="33.6">
      <c r="A311" s="115" t="s">
        <v>362</v>
      </c>
      <c r="B311" s="115" t="s">
        <v>34</v>
      </c>
      <c r="C311" s="115" t="s">
        <v>499</v>
      </c>
      <c r="D311" s="117">
        <v>600</v>
      </c>
      <c r="E311" s="9" t="s">
        <v>87</v>
      </c>
      <c r="F311" s="114">
        <v>115.1</v>
      </c>
      <c r="G311" s="126">
        <v>115.1</v>
      </c>
    </row>
    <row r="312" spans="1:7" ht="12.75">
      <c r="A312" s="43" t="s">
        <v>362</v>
      </c>
      <c r="B312" s="43" t="s">
        <v>20</v>
      </c>
      <c r="C312" s="43"/>
      <c r="D312" s="29"/>
      <c r="E312" s="9" t="s">
        <v>11</v>
      </c>
      <c r="F312" s="51">
        <f>F313</f>
        <v>5308.9</v>
      </c>
      <c r="G312" s="126">
        <f>G313</f>
        <v>5308.9</v>
      </c>
    </row>
    <row r="313" spans="1:7" ht="50.4">
      <c r="A313" s="43" t="s">
        <v>362</v>
      </c>
      <c r="B313" s="43" t="s">
        <v>20</v>
      </c>
      <c r="C313" s="43" t="s">
        <v>81</v>
      </c>
      <c r="D313" s="29"/>
      <c r="E313" s="9" t="s">
        <v>79</v>
      </c>
      <c r="F313" s="51">
        <f>F317+F314</f>
        <v>5308.9</v>
      </c>
      <c r="G313" s="126">
        <f>G317+G314</f>
        <v>5308.9</v>
      </c>
    </row>
    <row r="314" spans="1:7" ht="50.4">
      <c r="A314" s="11" t="s">
        <v>362</v>
      </c>
      <c r="B314" s="11" t="s">
        <v>20</v>
      </c>
      <c r="C314" s="11" t="s">
        <v>82</v>
      </c>
      <c r="D314" s="15"/>
      <c r="E314" s="9" t="s">
        <v>80</v>
      </c>
      <c r="F314" s="61">
        <f aca="true" t="shared" si="25" ref="F314:G315">F315</f>
        <v>205.3</v>
      </c>
      <c r="G314" s="126">
        <f t="shared" si="25"/>
        <v>205.3</v>
      </c>
    </row>
    <row r="315" spans="1:7" ht="33.6">
      <c r="A315" s="11" t="s">
        <v>362</v>
      </c>
      <c r="B315" s="11" t="s">
        <v>20</v>
      </c>
      <c r="C315" s="11" t="s">
        <v>406</v>
      </c>
      <c r="D315" s="15"/>
      <c r="E315" s="9" t="s">
        <v>407</v>
      </c>
      <c r="F315" s="61">
        <f t="shared" si="25"/>
        <v>205.3</v>
      </c>
      <c r="G315" s="126">
        <f t="shared" si="25"/>
        <v>205.3</v>
      </c>
    </row>
    <row r="316" spans="1:7" ht="33.6">
      <c r="A316" s="11" t="s">
        <v>362</v>
      </c>
      <c r="B316" s="11" t="s">
        <v>20</v>
      </c>
      <c r="C316" s="11" t="s">
        <v>406</v>
      </c>
      <c r="D316" s="15">
        <v>600</v>
      </c>
      <c r="E316" s="9" t="s">
        <v>87</v>
      </c>
      <c r="F316" s="61">
        <v>205.3</v>
      </c>
      <c r="G316" s="126">
        <v>205.3</v>
      </c>
    </row>
    <row r="317" spans="1:7" ht="67.2">
      <c r="A317" s="43" t="s">
        <v>362</v>
      </c>
      <c r="B317" s="43" t="s">
        <v>20</v>
      </c>
      <c r="C317" s="43" t="s">
        <v>124</v>
      </c>
      <c r="D317" s="29"/>
      <c r="E317" s="9" t="s">
        <v>125</v>
      </c>
      <c r="F317" s="51">
        <f>F318+F320+F322+F326+F328+F330+F332+F334+F324</f>
        <v>5103.599999999999</v>
      </c>
      <c r="G317" s="126">
        <f>G318+G320+G322+G326+G328+G330+G332+G334+G324</f>
        <v>5103.599999999999</v>
      </c>
    </row>
    <row r="318" spans="1:7" ht="33.6">
      <c r="A318" s="43" t="s">
        <v>362</v>
      </c>
      <c r="B318" s="43" t="s">
        <v>20</v>
      </c>
      <c r="C318" s="8" t="s">
        <v>126</v>
      </c>
      <c r="D318" s="8"/>
      <c r="E318" s="56" t="s">
        <v>127</v>
      </c>
      <c r="F318" s="51">
        <f>F319</f>
        <v>40.2</v>
      </c>
      <c r="G318" s="126">
        <f>G319</f>
        <v>40.2</v>
      </c>
    </row>
    <row r="319" spans="1:7" ht="12.75">
      <c r="A319" s="43" t="s">
        <v>362</v>
      </c>
      <c r="B319" s="43" t="s">
        <v>20</v>
      </c>
      <c r="C319" s="8" t="s">
        <v>126</v>
      </c>
      <c r="D319" s="15" t="s">
        <v>61</v>
      </c>
      <c r="E319" s="9" t="s">
        <v>62</v>
      </c>
      <c r="F319" s="51">
        <f>39.6+0.6</f>
        <v>40.2</v>
      </c>
      <c r="G319" s="126">
        <v>40.2</v>
      </c>
    </row>
    <row r="320" spans="1:7" ht="33.6">
      <c r="A320" s="43" t="s">
        <v>362</v>
      </c>
      <c r="B320" s="43" t="s">
        <v>20</v>
      </c>
      <c r="C320" s="8" t="s">
        <v>128</v>
      </c>
      <c r="D320" s="8"/>
      <c r="E320" s="56" t="s">
        <v>129</v>
      </c>
      <c r="F320" s="51">
        <f>F321</f>
        <v>13</v>
      </c>
      <c r="G320" s="126">
        <f>G321</f>
        <v>13</v>
      </c>
    </row>
    <row r="321" spans="1:7" ht="33.6">
      <c r="A321" s="43" t="s">
        <v>362</v>
      </c>
      <c r="B321" s="43" t="s">
        <v>20</v>
      </c>
      <c r="C321" s="8" t="s">
        <v>128</v>
      </c>
      <c r="D321" s="67" t="s">
        <v>56</v>
      </c>
      <c r="E321" s="9" t="s">
        <v>57</v>
      </c>
      <c r="F321" s="51">
        <v>13</v>
      </c>
      <c r="G321" s="126">
        <v>13</v>
      </c>
    </row>
    <row r="322" spans="1:7" ht="33.6">
      <c r="A322" s="43" t="s">
        <v>362</v>
      </c>
      <c r="B322" s="43" t="s">
        <v>20</v>
      </c>
      <c r="C322" s="8" t="s">
        <v>130</v>
      </c>
      <c r="D322" s="8"/>
      <c r="E322" s="56" t="s">
        <v>131</v>
      </c>
      <c r="F322" s="51">
        <f>F323</f>
        <v>33.5</v>
      </c>
      <c r="G322" s="126">
        <f>G323</f>
        <v>33.5</v>
      </c>
    </row>
    <row r="323" spans="1:7" ht="33.6">
      <c r="A323" s="43" t="s">
        <v>362</v>
      </c>
      <c r="B323" s="43" t="s">
        <v>20</v>
      </c>
      <c r="C323" s="8" t="s">
        <v>130</v>
      </c>
      <c r="D323" s="67" t="s">
        <v>56</v>
      </c>
      <c r="E323" s="9" t="s">
        <v>57</v>
      </c>
      <c r="F323" s="51">
        <f>62-28.5</f>
        <v>33.5</v>
      </c>
      <c r="G323" s="126">
        <v>33.5</v>
      </c>
    </row>
    <row r="324" spans="1:7" ht="33.6">
      <c r="A324" s="115" t="s">
        <v>362</v>
      </c>
      <c r="B324" s="115" t="s">
        <v>20</v>
      </c>
      <c r="C324" s="8" t="s">
        <v>497</v>
      </c>
      <c r="D324" s="8"/>
      <c r="E324" s="56" t="s">
        <v>498</v>
      </c>
      <c r="F324" s="114">
        <f>F325</f>
        <v>27.9</v>
      </c>
      <c r="G324" s="126">
        <f>G325</f>
        <v>27.9</v>
      </c>
    </row>
    <row r="325" spans="1:7" ht="33.6">
      <c r="A325" s="115" t="s">
        <v>362</v>
      </c>
      <c r="B325" s="115" t="s">
        <v>20</v>
      </c>
      <c r="C325" s="8" t="s">
        <v>497</v>
      </c>
      <c r="D325" s="67" t="s">
        <v>56</v>
      </c>
      <c r="E325" s="9" t="s">
        <v>57</v>
      </c>
      <c r="F325" s="114">
        <v>27.9</v>
      </c>
      <c r="G325" s="126">
        <v>27.9</v>
      </c>
    </row>
    <row r="326" spans="1:7" ht="33.6">
      <c r="A326" s="43" t="s">
        <v>362</v>
      </c>
      <c r="B326" s="43" t="s">
        <v>20</v>
      </c>
      <c r="C326" s="8" t="s">
        <v>137</v>
      </c>
      <c r="D326" s="8"/>
      <c r="E326" s="56" t="s">
        <v>132</v>
      </c>
      <c r="F326" s="51">
        <f>F327</f>
        <v>4508.1</v>
      </c>
      <c r="G326" s="126">
        <f>G327</f>
        <v>4508.1</v>
      </c>
    </row>
    <row r="327" spans="1:7" ht="33.6">
      <c r="A327" s="43" t="s">
        <v>362</v>
      </c>
      <c r="B327" s="43" t="s">
        <v>20</v>
      </c>
      <c r="C327" s="8" t="s">
        <v>137</v>
      </c>
      <c r="D327" s="15">
        <v>600</v>
      </c>
      <c r="E327" s="9" t="s">
        <v>87</v>
      </c>
      <c r="F327" s="51">
        <v>4508.1</v>
      </c>
      <c r="G327" s="126">
        <v>4508.1</v>
      </c>
    </row>
    <row r="328" spans="1:7" ht="46.2" customHeight="1">
      <c r="A328" s="43" t="s">
        <v>362</v>
      </c>
      <c r="B328" s="43" t="s">
        <v>20</v>
      </c>
      <c r="C328" s="8" t="s">
        <v>138</v>
      </c>
      <c r="D328" s="8"/>
      <c r="E328" s="56" t="s">
        <v>133</v>
      </c>
      <c r="F328" s="51">
        <f>F329</f>
        <v>230.9</v>
      </c>
      <c r="G328" s="126">
        <f>G329</f>
        <v>230.9</v>
      </c>
    </row>
    <row r="329" spans="1:7" ht="33.6">
      <c r="A329" s="43" t="s">
        <v>362</v>
      </c>
      <c r="B329" s="43" t="s">
        <v>20</v>
      </c>
      <c r="C329" s="8" t="s">
        <v>138</v>
      </c>
      <c r="D329" s="15">
        <v>600</v>
      </c>
      <c r="E329" s="9" t="s">
        <v>87</v>
      </c>
      <c r="F329" s="51">
        <v>230.9</v>
      </c>
      <c r="G329" s="126">
        <v>230.9</v>
      </c>
    </row>
    <row r="330" spans="1:7" ht="33.6">
      <c r="A330" s="43" t="s">
        <v>362</v>
      </c>
      <c r="B330" s="43" t="s">
        <v>20</v>
      </c>
      <c r="C330" s="8" t="s">
        <v>139</v>
      </c>
      <c r="D330" s="8"/>
      <c r="E330" s="56" t="s">
        <v>134</v>
      </c>
      <c r="F330" s="51">
        <f>F331</f>
        <v>56</v>
      </c>
      <c r="G330" s="126">
        <f>G331</f>
        <v>56</v>
      </c>
    </row>
    <row r="331" spans="1:7" ht="33.6">
      <c r="A331" s="43" t="s">
        <v>362</v>
      </c>
      <c r="B331" s="43" t="s">
        <v>20</v>
      </c>
      <c r="C331" s="8" t="s">
        <v>139</v>
      </c>
      <c r="D331" s="15">
        <v>600</v>
      </c>
      <c r="E331" s="9" t="s">
        <v>87</v>
      </c>
      <c r="F331" s="51">
        <v>56</v>
      </c>
      <c r="G331" s="126">
        <v>56</v>
      </c>
    </row>
    <row r="332" spans="1:7" ht="33.6">
      <c r="A332" s="43" t="s">
        <v>362</v>
      </c>
      <c r="B332" s="43" t="s">
        <v>20</v>
      </c>
      <c r="C332" s="8" t="s">
        <v>140</v>
      </c>
      <c r="D332" s="8"/>
      <c r="E332" s="56" t="s">
        <v>135</v>
      </c>
      <c r="F332" s="51">
        <f>F333</f>
        <v>35</v>
      </c>
      <c r="G332" s="126">
        <f>G333</f>
        <v>35</v>
      </c>
    </row>
    <row r="333" spans="1:7" ht="33.6">
      <c r="A333" s="43" t="s">
        <v>362</v>
      </c>
      <c r="B333" s="43" t="s">
        <v>20</v>
      </c>
      <c r="C333" s="8" t="s">
        <v>140</v>
      </c>
      <c r="D333" s="15">
        <v>600</v>
      </c>
      <c r="E333" s="9" t="s">
        <v>87</v>
      </c>
      <c r="F333" s="51">
        <v>35</v>
      </c>
      <c r="G333" s="126">
        <v>35</v>
      </c>
    </row>
    <row r="334" spans="1:7" ht="67.2">
      <c r="A334" s="43" t="s">
        <v>362</v>
      </c>
      <c r="B334" s="43" t="s">
        <v>20</v>
      </c>
      <c r="C334" s="8" t="s">
        <v>141</v>
      </c>
      <c r="D334" s="8"/>
      <c r="E334" s="56" t="s">
        <v>136</v>
      </c>
      <c r="F334" s="51">
        <f>F335</f>
        <v>159</v>
      </c>
      <c r="G334" s="126">
        <f>G335</f>
        <v>159</v>
      </c>
    </row>
    <row r="335" spans="1:7" ht="33.6">
      <c r="A335" s="43" t="s">
        <v>362</v>
      </c>
      <c r="B335" s="43" t="s">
        <v>20</v>
      </c>
      <c r="C335" s="8" t="s">
        <v>141</v>
      </c>
      <c r="D335" s="15">
        <v>600</v>
      </c>
      <c r="E335" s="9" t="s">
        <v>87</v>
      </c>
      <c r="F335" s="51">
        <v>159</v>
      </c>
      <c r="G335" s="126">
        <v>159</v>
      </c>
    </row>
    <row r="336" spans="1:7" ht="12.75">
      <c r="A336" s="43" t="s">
        <v>362</v>
      </c>
      <c r="B336" s="43" t="s">
        <v>21</v>
      </c>
      <c r="C336" s="43"/>
      <c r="D336" s="29"/>
      <c r="E336" s="30" t="s">
        <v>13</v>
      </c>
      <c r="F336" s="51">
        <f aca="true" t="shared" si="26" ref="F336:G338">F337</f>
        <v>6287.1</v>
      </c>
      <c r="G336" s="126">
        <f t="shared" si="26"/>
        <v>5088.2</v>
      </c>
    </row>
    <row r="337" spans="1:7" ht="12.75">
      <c r="A337" s="43" t="s">
        <v>362</v>
      </c>
      <c r="B337" s="43" t="s">
        <v>22</v>
      </c>
      <c r="C337" s="43"/>
      <c r="D337" s="29"/>
      <c r="E337" s="9" t="s">
        <v>16</v>
      </c>
      <c r="F337" s="51">
        <f t="shared" si="26"/>
        <v>6287.1</v>
      </c>
      <c r="G337" s="126">
        <f t="shared" si="26"/>
        <v>5088.2</v>
      </c>
    </row>
    <row r="338" spans="1:7" ht="67.2">
      <c r="A338" s="43" t="s">
        <v>362</v>
      </c>
      <c r="B338" s="43" t="s">
        <v>22</v>
      </c>
      <c r="C338" s="8" t="s">
        <v>175</v>
      </c>
      <c r="D338" s="15"/>
      <c r="E338" s="9" t="s">
        <v>173</v>
      </c>
      <c r="F338" s="51">
        <f t="shared" si="26"/>
        <v>6287.1</v>
      </c>
      <c r="G338" s="126">
        <f t="shared" si="26"/>
        <v>5088.2</v>
      </c>
    </row>
    <row r="339" spans="1:7" ht="33.6">
      <c r="A339" s="43" t="s">
        <v>362</v>
      </c>
      <c r="B339" s="43" t="s">
        <v>22</v>
      </c>
      <c r="C339" s="8" t="s">
        <v>259</v>
      </c>
      <c r="D339" s="15"/>
      <c r="E339" s="9" t="s">
        <v>258</v>
      </c>
      <c r="F339" s="51">
        <f>F340+F342+F344</f>
        <v>6287.1</v>
      </c>
      <c r="G339" s="126">
        <f>G340+G342+G344</f>
        <v>5088.2</v>
      </c>
    </row>
    <row r="340" spans="1:7" ht="33.6">
      <c r="A340" s="43" t="s">
        <v>362</v>
      </c>
      <c r="B340" s="43" t="s">
        <v>22</v>
      </c>
      <c r="C340" s="8" t="s">
        <v>260</v>
      </c>
      <c r="D340" s="15"/>
      <c r="E340" s="9" t="s">
        <v>261</v>
      </c>
      <c r="F340" s="51">
        <f>F341</f>
        <v>3480.4</v>
      </c>
      <c r="G340" s="126">
        <f>G341</f>
        <v>2701.9</v>
      </c>
    </row>
    <row r="341" spans="1:7" ht="12.75">
      <c r="A341" s="43" t="s">
        <v>362</v>
      </c>
      <c r="B341" s="43" t="s">
        <v>22</v>
      </c>
      <c r="C341" s="8" t="s">
        <v>260</v>
      </c>
      <c r="D341" s="15" t="s">
        <v>61</v>
      </c>
      <c r="E341" s="9" t="s">
        <v>62</v>
      </c>
      <c r="F341" s="51">
        <f>1798.2+1682.2</f>
        <v>3480.4</v>
      </c>
      <c r="G341" s="126">
        <v>2701.9</v>
      </c>
    </row>
    <row r="342" spans="1:7" ht="50.4">
      <c r="A342" s="43" t="s">
        <v>362</v>
      </c>
      <c r="B342" s="43" t="s">
        <v>22</v>
      </c>
      <c r="C342" s="8" t="s">
        <v>393</v>
      </c>
      <c r="D342" s="15"/>
      <c r="E342" s="9" t="s">
        <v>394</v>
      </c>
      <c r="F342" s="51">
        <f>F343</f>
        <v>1189.6000000000001</v>
      </c>
      <c r="G342" s="126">
        <f>G343</f>
        <v>1087.3</v>
      </c>
    </row>
    <row r="343" spans="1:7" ht="12.75">
      <c r="A343" s="43" t="s">
        <v>362</v>
      </c>
      <c r="B343" s="43" t="s">
        <v>22</v>
      </c>
      <c r="C343" s="8" t="s">
        <v>393</v>
      </c>
      <c r="D343" s="15" t="s">
        <v>61</v>
      </c>
      <c r="E343" s="9" t="s">
        <v>62</v>
      </c>
      <c r="F343" s="51">
        <f>1047.7+141.9</f>
        <v>1189.6000000000001</v>
      </c>
      <c r="G343" s="126">
        <v>1087.3</v>
      </c>
    </row>
    <row r="344" spans="1:7" ht="50.4">
      <c r="A344" s="43" t="s">
        <v>362</v>
      </c>
      <c r="B344" s="43" t="s">
        <v>22</v>
      </c>
      <c r="C344" s="8" t="s">
        <v>411</v>
      </c>
      <c r="D344" s="15"/>
      <c r="E344" s="9" t="s">
        <v>412</v>
      </c>
      <c r="F344" s="51">
        <f>F345</f>
        <v>1617.1</v>
      </c>
      <c r="G344" s="126">
        <f>G345</f>
        <v>1299</v>
      </c>
    </row>
    <row r="345" spans="1:7" ht="12.75">
      <c r="A345" s="43" t="s">
        <v>362</v>
      </c>
      <c r="B345" s="43" t="s">
        <v>22</v>
      </c>
      <c r="C345" s="8" t="s">
        <v>411</v>
      </c>
      <c r="D345" s="15" t="s">
        <v>61</v>
      </c>
      <c r="E345" s="9" t="s">
        <v>62</v>
      </c>
      <c r="F345" s="51">
        <f>1168.8+448.3</f>
        <v>1617.1</v>
      </c>
      <c r="G345" s="126">
        <v>1299</v>
      </c>
    </row>
    <row r="346" spans="1:7" ht="12.75">
      <c r="A346" s="43" t="s">
        <v>362</v>
      </c>
      <c r="B346" s="43" t="s">
        <v>44</v>
      </c>
      <c r="C346" s="43"/>
      <c r="D346" s="29"/>
      <c r="E346" s="9" t="s">
        <v>12</v>
      </c>
      <c r="F346" s="51">
        <f>F347+F362</f>
        <v>12948.7</v>
      </c>
      <c r="G346" s="126">
        <f>G347+G362</f>
        <v>12931.7</v>
      </c>
    </row>
    <row r="347" spans="1:7" ht="12.75">
      <c r="A347" s="43" t="s">
        <v>362</v>
      </c>
      <c r="B347" s="43" t="s">
        <v>148</v>
      </c>
      <c r="C347" s="43"/>
      <c r="D347" s="29"/>
      <c r="E347" s="19" t="s">
        <v>45</v>
      </c>
      <c r="F347" s="51">
        <f>F348+F359</f>
        <v>10753.1</v>
      </c>
      <c r="G347" s="126">
        <f>G348+G359</f>
        <v>10749</v>
      </c>
    </row>
    <row r="348" spans="1:7" ht="67.2">
      <c r="A348" s="43" t="s">
        <v>362</v>
      </c>
      <c r="B348" s="43" t="s">
        <v>148</v>
      </c>
      <c r="C348" s="43" t="s">
        <v>143</v>
      </c>
      <c r="D348" s="29"/>
      <c r="E348" s="9" t="s">
        <v>142</v>
      </c>
      <c r="F348" s="51">
        <f aca="true" t="shared" si="27" ref="F348:G348">F349</f>
        <v>10703.1</v>
      </c>
      <c r="G348" s="126">
        <f t="shared" si="27"/>
        <v>10699</v>
      </c>
    </row>
    <row r="349" spans="1:7" ht="33.6">
      <c r="A349" s="43" t="s">
        <v>362</v>
      </c>
      <c r="B349" s="43" t="s">
        <v>148</v>
      </c>
      <c r="C349" s="43" t="s">
        <v>145</v>
      </c>
      <c r="D349" s="29"/>
      <c r="E349" s="9" t="s">
        <v>144</v>
      </c>
      <c r="F349" s="51">
        <f>F350+F355+F357</f>
        <v>10703.1</v>
      </c>
      <c r="G349" s="126">
        <f>G350+G355+G357</f>
        <v>10699</v>
      </c>
    </row>
    <row r="350" spans="1:7" ht="33.6">
      <c r="A350" s="43" t="s">
        <v>362</v>
      </c>
      <c r="B350" s="43" t="s">
        <v>148</v>
      </c>
      <c r="C350" s="43" t="s">
        <v>152</v>
      </c>
      <c r="D350" s="29"/>
      <c r="E350" s="9" t="s">
        <v>149</v>
      </c>
      <c r="F350" s="51">
        <f>F352+F353+F351+F354</f>
        <v>1190.7</v>
      </c>
      <c r="G350" s="126">
        <f>G352+G353+G351+G354</f>
        <v>1186.6</v>
      </c>
    </row>
    <row r="351" spans="1:7" ht="84">
      <c r="A351" s="43" t="s">
        <v>362</v>
      </c>
      <c r="B351" s="43" t="s">
        <v>148</v>
      </c>
      <c r="C351" s="43" t="s">
        <v>152</v>
      </c>
      <c r="D351" s="67" t="s">
        <v>55</v>
      </c>
      <c r="E351" s="9" t="s">
        <v>346</v>
      </c>
      <c r="F351" s="51">
        <f>387+141.1-21</f>
        <v>507.1</v>
      </c>
      <c r="G351" s="126">
        <v>503.1</v>
      </c>
    </row>
    <row r="352" spans="1:7" ht="33.6">
      <c r="A352" s="43" t="s">
        <v>362</v>
      </c>
      <c r="B352" s="43" t="s">
        <v>148</v>
      </c>
      <c r="C352" s="43" t="s">
        <v>152</v>
      </c>
      <c r="D352" s="67" t="s">
        <v>56</v>
      </c>
      <c r="E352" s="9" t="s">
        <v>57</v>
      </c>
      <c r="F352" s="51">
        <f>915.2-452.5+28</f>
        <v>490.70000000000005</v>
      </c>
      <c r="G352" s="126">
        <v>490.6</v>
      </c>
    </row>
    <row r="353" spans="1:7" ht="33.6">
      <c r="A353" s="43" t="s">
        <v>362</v>
      </c>
      <c r="B353" s="43" t="s">
        <v>148</v>
      </c>
      <c r="C353" s="43" t="s">
        <v>152</v>
      </c>
      <c r="D353" s="15">
        <v>600</v>
      </c>
      <c r="E353" s="9" t="s">
        <v>87</v>
      </c>
      <c r="F353" s="51">
        <f>275.5-156.1</f>
        <v>119.4</v>
      </c>
      <c r="G353" s="126">
        <v>119.4</v>
      </c>
    </row>
    <row r="354" spans="1:7" ht="12.75">
      <c r="A354" s="43" t="s">
        <v>362</v>
      </c>
      <c r="B354" s="43" t="s">
        <v>148</v>
      </c>
      <c r="C354" s="43" t="s">
        <v>152</v>
      </c>
      <c r="D354" s="67" t="s">
        <v>58</v>
      </c>
      <c r="E354" s="9" t="s">
        <v>59</v>
      </c>
      <c r="F354" s="51">
        <f>65.5+15-7</f>
        <v>73.5</v>
      </c>
      <c r="G354" s="126">
        <v>73.5</v>
      </c>
    </row>
    <row r="355" spans="1:7" ht="50.4">
      <c r="A355" s="43" t="s">
        <v>362</v>
      </c>
      <c r="B355" s="43" t="s">
        <v>148</v>
      </c>
      <c r="C355" s="43" t="s">
        <v>153</v>
      </c>
      <c r="D355" s="29"/>
      <c r="E355" s="9" t="s">
        <v>150</v>
      </c>
      <c r="F355" s="51">
        <f>F356</f>
        <v>9147.1</v>
      </c>
      <c r="G355" s="126">
        <f>G356</f>
        <v>9147.1</v>
      </c>
    </row>
    <row r="356" spans="1:7" ht="33.6">
      <c r="A356" s="43" t="s">
        <v>362</v>
      </c>
      <c r="B356" s="43" t="s">
        <v>148</v>
      </c>
      <c r="C356" s="43" t="s">
        <v>153</v>
      </c>
      <c r="D356" s="15">
        <v>600</v>
      </c>
      <c r="E356" s="9" t="s">
        <v>87</v>
      </c>
      <c r="F356" s="51">
        <v>9147.1</v>
      </c>
      <c r="G356" s="126">
        <v>9147.1</v>
      </c>
    </row>
    <row r="357" spans="1:7" ht="67.2">
      <c r="A357" s="43" t="s">
        <v>362</v>
      </c>
      <c r="B357" s="43" t="s">
        <v>148</v>
      </c>
      <c r="C357" s="43" t="s">
        <v>154</v>
      </c>
      <c r="D357" s="29"/>
      <c r="E357" s="9" t="s">
        <v>151</v>
      </c>
      <c r="F357" s="51">
        <f>F358</f>
        <v>365.3</v>
      </c>
      <c r="G357" s="126">
        <f>G358</f>
        <v>365.3</v>
      </c>
    </row>
    <row r="358" spans="1:7" ht="33.6">
      <c r="A358" s="43" t="s">
        <v>362</v>
      </c>
      <c r="B358" s="43" t="s">
        <v>148</v>
      </c>
      <c r="C358" s="43" t="s">
        <v>154</v>
      </c>
      <c r="D358" s="15">
        <v>600</v>
      </c>
      <c r="E358" s="9" t="s">
        <v>87</v>
      </c>
      <c r="F358" s="51">
        <f>381.1-15.8</f>
        <v>365.3</v>
      </c>
      <c r="G358" s="126">
        <v>365.3</v>
      </c>
    </row>
    <row r="359" spans="1:7" ht="50.4">
      <c r="A359" s="76" t="s">
        <v>362</v>
      </c>
      <c r="B359" s="76" t="s">
        <v>148</v>
      </c>
      <c r="C359" s="8" t="s">
        <v>297</v>
      </c>
      <c r="D359" s="25"/>
      <c r="E359" s="9" t="s">
        <v>294</v>
      </c>
      <c r="F359" s="75">
        <f>F360</f>
        <v>50</v>
      </c>
      <c r="G359" s="126">
        <f>G360</f>
        <v>50</v>
      </c>
    </row>
    <row r="360" spans="1:7" ht="50.4">
      <c r="A360" s="76" t="s">
        <v>362</v>
      </c>
      <c r="B360" s="76" t="s">
        <v>148</v>
      </c>
      <c r="C360" s="9">
        <v>9977888</v>
      </c>
      <c r="D360" s="9"/>
      <c r="E360" s="9" t="s">
        <v>429</v>
      </c>
      <c r="F360" s="75">
        <f>F361</f>
        <v>50</v>
      </c>
      <c r="G360" s="126">
        <f>G361</f>
        <v>50</v>
      </c>
    </row>
    <row r="361" spans="1:7" ht="33.6">
      <c r="A361" s="76" t="s">
        <v>362</v>
      </c>
      <c r="B361" s="76" t="s">
        <v>148</v>
      </c>
      <c r="C361" s="9">
        <v>9977888</v>
      </c>
      <c r="D361" s="25" t="s">
        <v>56</v>
      </c>
      <c r="E361" s="9" t="s">
        <v>57</v>
      </c>
      <c r="F361" s="75">
        <v>50</v>
      </c>
      <c r="G361" s="126">
        <v>50</v>
      </c>
    </row>
    <row r="362" spans="1:7" ht="33.6">
      <c r="A362" s="43" t="s">
        <v>362</v>
      </c>
      <c r="B362" s="43" t="s">
        <v>155</v>
      </c>
      <c r="C362" s="43"/>
      <c r="D362" s="29"/>
      <c r="E362" s="30" t="s">
        <v>340</v>
      </c>
      <c r="F362" s="51">
        <f aca="true" t="shared" si="28" ref="F362:G364">F363</f>
        <v>2195.6000000000004</v>
      </c>
      <c r="G362" s="126">
        <f t="shared" si="28"/>
        <v>2182.7000000000003</v>
      </c>
    </row>
    <row r="363" spans="1:7" ht="67.2">
      <c r="A363" s="43" t="s">
        <v>362</v>
      </c>
      <c r="B363" s="43" t="s">
        <v>155</v>
      </c>
      <c r="C363" s="43" t="s">
        <v>143</v>
      </c>
      <c r="D363" s="29"/>
      <c r="E363" s="9" t="s">
        <v>142</v>
      </c>
      <c r="F363" s="51">
        <f t="shared" si="28"/>
        <v>2195.6000000000004</v>
      </c>
      <c r="G363" s="126">
        <f t="shared" si="28"/>
        <v>2182.7000000000003</v>
      </c>
    </row>
    <row r="364" spans="1:7" ht="12.75">
      <c r="A364" s="43" t="s">
        <v>362</v>
      </c>
      <c r="B364" s="43" t="s">
        <v>155</v>
      </c>
      <c r="C364" s="8" t="s">
        <v>156</v>
      </c>
      <c r="D364" s="8"/>
      <c r="E364" s="56" t="s">
        <v>343</v>
      </c>
      <c r="F364" s="51">
        <f t="shared" si="28"/>
        <v>2195.6000000000004</v>
      </c>
      <c r="G364" s="126">
        <f t="shared" si="28"/>
        <v>2182.7000000000003</v>
      </c>
    </row>
    <row r="365" spans="1:7" ht="84">
      <c r="A365" s="43" t="s">
        <v>362</v>
      </c>
      <c r="B365" s="43" t="s">
        <v>155</v>
      </c>
      <c r="C365" s="43" t="s">
        <v>157</v>
      </c>
      <c r="D365" s="29"/>
      <c r="E365" s="9" t="s">
        <v>63</v>
      </c>
      <c r="F365" s="51">
        <f>F366+F367+F368</f>
        <v>2195.6000000000004</v>
      </c>
      <c r="G365" s="126">
        <f>G366+G367+G368</f>
        <v>2182.7000000000003</v>
      </c>
    </row>
    <row r="366" spans="1:7" ht="84">
      <c r="A366" s="43" t="s">
        <v>362</v>
      </c>
      <c r="B366" s="43" t="s">
        <v>155</v>
      </c>
      <c r="C366" s="43" t="s">
        <v>157</v>
      </c>
      <c r="D366" s="67" t="s">
        <v>55</v>
      </c>
      <c r="E366" s="9" t="s">
        <v>346</v>
      </c>
      <c r="F366" s="51">
        <f>2029.4-155</f>
        <v>1874.4</v>
      </c>
      <c r="G366" s="126">
        <v>1874.4</v>
      </c>
    </row>
    <row r="367" spans="1:7" ht="33.6">
      <c r="A367" s="43" t="s">
        <v>362</v>
      </c>
      <c r="B367" s="25" t="s">
        <v>155</v>
      </c>
      <c r="C367" s="43" t="s">
        <v>157</v>
      </c>
      <c r="D367" s="67" t="s">
        <v>56</v>
      </c>
      <c r="E367" s="9" t="s">
        <v>57</v>
      </c>
      <c r="F367" s="51">
        <v>320.9</v>
      </c>
      <c r="G367" s="126">
        <v>308.3</v>
      </c>
    </row>
    <row r="368" spans="1:7" ht="12.75">
      <c r="A368" s="43" t="s">
        <v>362</v>
      </c>
      <c r="B368" s="25" t="s">
        <v>155</v>
      </c>
      <c r="C368" s="43" t="s">
        <v>157</v>
      </c>
      <c r="D368" s="67" t="s">
        <v>58</v>
      </c>
      <c r="E368" s="9" t="s">
        <v>59</v>
      </c>
      <c r="F368" s="51">
        <v>0.3</v>
      </c>
      <c r="G368" s="126">
        <v>0</v>
      </c>
    </row>
    <row r="369" spans="1:7" ht="33.6">
      <c r="A369" s="26" t="s">
        <v>370</v>
      </c>
      <c r="B369" s="43"/>
      <c r="C369" s="26"/>
      <c r="D369" s="26"/>
      <c r="E369" s="27" t="s">
        <v>371</v>
      </c>
      <c r="F369" s="52">
        <f>F370+F445</f>
        <v>427788.30000000005</v>
      </c>
      <c r="G369" s="52">
        <f>G370+G445</f>
        <v>422842.0999999999</v>
      </c>
    </row>
    <row r="370" spans="1:7" ht="12.75">
      <c r="A370" s="43" t="s">
        <v>370</v>
      </c>
      <c r="B370" s="43" t="s">
        <v>19</v>
      </c>
      <c r="C370" s="43"/>
      <c r="D370" s="29"/>
      <c r="E370" s="9" t="s">
        <v>10</v>
      </c>
      <c r="F370" s="51">
        <f>F371+F391+F432+F424</f>
        <v>419572.4</v>
      </c>
      <c r="G370" s="126">
        <f>G371+G391+G432+G424</f>
        <v>415011.3999999999</v>
      </c>
    </row>
    <row r="371" spans="1:7" ht="12.75">
      <c r="A371" s="43" t="s">
        <v>370</v>
      </c>
      <c r="B371" s="43" t="s">
        <v>33</v>
      </c>
      <c r="C371" s="43"/>
      <c r="D371" s="29"/>
      <c r="E371" s="9" t="s">
        <v>372</v>
      </c>
      <c r="F371" s="51">
        <f>F372+F388</f>
        <v>156388.40000000002</v>
      </c>
      <c r="G371" s="126">
        <f>G372+G388</f>
        <v>154227</v>
      </c>
    </row>
    <row r="372" spans="1:7" ht="50.4">
      <c r="A372" s="43" t="s">
        <v>370</v>
      </c>
      <c r="B372" s="43" t="s">
        <v>33</v>
      </c>
      <c r="C372" s="43" t="s">
        <v>81</v>
      </c>
      <c r="D372" s="29"/>
      <c r="E372" s="9" t="s">
        <v>79</v>
      </c>
      <c r="F372" s="51">
        <f aca="true" t="shared" si="29" ref="F372:G372">F373</f>
        <v>156313.40000000002</v>
      </c>
      <c r="G372" s="126">
        <f t="shared" si="29"/>
        <v>154152</v>
      </c>
    </row>
    <row r="373" spans="1:7" ht="50.4">
      <c r="A373" s="43" t="s">
        <v>370</v>
      </c>
      <c r="B373" s="43" t="s">
        <v>33</v>
      </c>
      <c r="C373" s="43" t="s">
        <v>82</v>
      </c>
      <c r="D373" s="29"/>
      <c r="E373" s="9" t="s">
        <v>80</v>
      </c>
      <c r="F373" s="51">
        <f>F374+F376+F378+F386+F380+F384+F382</f>
        <v>156313.40000000002</v>
      </c>
      <c r="G373" s="126">
        <f>G374+G376+G378+G386+G380+G384+G382</f>
        <v>154152</v>
      </c>
    </row>
    <row r="374" spans="1:7" ht="67.2">
      <c r="A374" s="43" t="s">
        <v>370</v>
      </c>
      <c r="B374" s="43" t="s">
        <v>33</v>
      </c>
      <c r="C374" s="8" t="s">
        <v>83</v>
      </c>
      <c r="D374" s="8"/>
      <c r="E374" s="56" t="s">
        <v>84</v>
      </c>
      <c r="F374" s="51">
        <f>F375</f>
        <v>64213.600000000006</v>
      </c>
      <c r="G374" s="126">
        <f>G375</f>
        <v>62052.2</v>
      </c>
    </row>
    <row r="375" spans="1:7" ht="33.6">
      <c r="A375" s="43" t="s">
        <v>370</v>
      </c>
      <c r="B375" s="43" t="s">
        <v>33</v>
      </c>
      <c r="C375" s="8" t="s">
        <v>83</v>
      </c>
      <c r="D375" s="15">
        <v>600</v>
      </c>
      <c r="E375" s="9" t="s">
        <v>87</v>
      </c>
      <c r="F375" s="51">
        <f>75437.2-577.5-7586.4-315.5-600-186.2-1958</f>
        <v>64213.600000000006</v>
      </c>
      <c r="G375" s="126">
        <v>62052.2</v>
      </c>
    </row>
    <row r="376" spans="1:7" ht="50.4">
      <c r="A376" s="43" t="s">
        <v>370</v>
      </c>
      <c r="B376" s="43" t="s">
        <v>33</v>
      </c>
      <c r="C376" s="8" t="s">
        <v>315</v>
      </c>
      <c r="D376" s="8"/>
      <c r="E376" s="56" t="s">
        <v>88</v>
      </c>
      <c r="F376" s="51">
        <f>F377</f>
        <v>2128.2999999999997</v>
      </c>
      <c r="G376" s="126">
        <f>G377</f>
        <v>2128.3</v>
      </c>
    </row>
    <row r="377" spans="1:7" ht="33.6">
      <c r="A377" s="43" t="s">
        <v>370</v>
      </c>
      <c r="B377" s="43" t="s">
        <v>33</v>
      </c>
      <c r="C377" s="8" t="s">
        <v>315</v>
      </c>
      <c r="D377" s="15">
        <v>600</v>
      </c>
      <c r="E377" s="9" t="s">
        <v>87</v>
      </c>
      <c r="F377" s="51">
        <f>1365.4+420+315.5-158.9+186.2+0.1</f>
        <v>2128.2999999999997</v>
      </c>
      <c r="G377" s="126">
        <v>2128.3</v>
      </c>
    </row>
    <row r="378" spans="1:7" ht="50.4">
      <c r="A378" s="43" t="s">
        <v>370</v>
      </c>
      <c r="B378" s="43" t="s">
        <v>33</v>
      </c>
      <c r="C378" s="8" t="s">
        <v>316</v>
      </c>
      <c r="D378" s="8"/>
      <c r="E378" s="56" t="s">
        <v>89</v>
      </c>
      <c r="F378" s="51">
        <f>F379</f>
        <v>235.8</v>
      </c>
      <c r="G378" s="126">
        <f>G379</f>
        <v>235.8</v>
      </c>
    </row>
    <row r="379" spans="1:7" ht="33.6">
      <c r="A379" s="43" t="s">
        <v>370</v>
      </c>
      <c r="B379" s="11" t="s">
        <v>33</v>
      </c>
      <c r="C379" s="8" t="s">
        <v>316</v>
      </c>
      <c r="D379" s="15">
        <v>600</v>
      </c>
      <c r="E379" s="9" t="s">
        <v>87</v>
      </c>
      <c r="F379" s="51">
        <v>235.8</v>
      </c>
      <c r="G379" s="126">
        <v>235.8</v>
      </c>
    </row>
    <row r="380" spans="1:7" ht="50.4">
      <c r="A380" s="11" t="s">
        <v>370</v>
      </c>
      <c r="B380" s="11" t="s">
        <v>33</v>
      </c>
      <c r="C380" s="8" t="s">
        <v>317</v>
      </c>
      <c r="D380" s="8"/>
      <c r="E380" s="56" t="s">
        <v>98</v>
      </c>
      <c r="F380" s="51">
        <f>F381</f>
        <v>1037.1</v>
      </c>
      <c r="G380" s="126">
        <f>G381</f>
        <v>1037.1</v>
      </c>
    </row>
    <row r="381" spans="1:7" ht="33.6">
      <c r="A381" s="11" t="s">
        <v>370</v>
      </c>
      <c r="B381" s="11" t="s">
        <v>33</v>
      </c>
      <c r="C381" s="8" t="s">
        <v>317</v>
      </c>
      <c r="D381" s="15">
        <v>600</v>
      </c>
      <c r="E381" s="9" t="s">
        <v>87</v>
      </c>
      <c r="F381" s="51">
        <v>1037.1</v>
      </c>
      <c r="G381" s="126">
        <v>1037.1</v>
      </c>
    </row>
    <row r="382" spans="1:7" ht="84">
      <c r="A382" s="11" t="s">
        <v>370</v>
      </c>
      <c r="B382" s="11" t="s">
        <v>33</v>
      </c>
      <c r="C382" s="8" t="s">
        <v>436</v>
      </c>
      <c r="D382" s="86"/>
      <c r="E382" s="9" t="s">
        <v>437</v>
      </c>
      <c r="F382" s="85">
        <f>F383</f>
        <v>194.5</v>
      </c>
      <c r="G382" s="126">
        <f>G383</f>
        <v>194.5</v>
      </c>
    </row>
    <row r="383" spans="1:7" ht="33.6">
      <c r="A383" s="11" t="s">
        <v>370</v>
      </c>
      <c r="B383" s="11" t="s">
        <v>33</v>
      </c>
      <c r="C383" s="8" t="s">
        <v>436</v>
      </c>
      <c r="D383" s="86">
        <v>600</v>
      </c>
      <c r="E383" s="9" t="s">
        <v>87</v>
      </c>
      <c r="F383" s="85">
        <v>194.5</v>
      </c>
      <c r="G383" s="126">
        <v>194.5</v>
      </c>
    </row>
    <row r="384" spans="1:7" ht="67.2">
      <c r="A384" s="11" t="s">
        <v>370</v>
      </c>
      <c r="B384" s="11" t="s">
        <v>33</v>
      </c>
      <c r="C384" s="8" t="s">
        <v>421</v>
      </c>
      <c r="D384" s="15"/>
      <c r="E384" s="9" t="s">
        <v>422</v>
      </c>
      <c r="F384" s="51">
        <f>F385</f>
        <v>601.4</v>
      </c>
      <c r="G384" s="126">
        <f>G385</f>
        <v>601.4</v>
      </c>
    </row>
    <row r="385" spans="1:7" ht="33.6">
      <c r="A385" s="11" t="s">
        <v>370</v>
      </c>
      <c r="B385" s="11" t="s">
        <v>33</v>
      </c>
      <c r="C385" s="8" t="s">
        <v>421</v>
      </c>
      <c r="D385" s="15">
        <v>600</v>
      </c>
      <c r="E385" s="9" t="s">
        <v>87</v>
      </c>
      <c r="F385" s="51">
        <v>601.4</v>
      </c>
      <c r="G385" s="126">
        <v>601.4</v>
      </c>
    </row>
    <row r="386" spans="1:7" ht="67.2">
      <c r="A386" s="11" t="s">
        <v>370</v>
      </c>
      <c r="B386" s="11" t="s">
        <v>33</v>
      </c>
      <c r="C386" s="8" t="s">
        <v>85</v>
      </c>
      <c r="D386" s="8"/>
      <c r="E386" s="9" t="s">
        <v>86</v>
      </c>
      <c r="F386" s="51">
        <f>F387</f>
        <v>87902.7</v>
      </c>
      <c r="G386" s="126">
        <f aca="true" t="shared" si="30" ref="G386">G387</f>
        <v>87902.7</v>
      </c>
    </row>
    <row r="387" spans="1:7" ht="33.6">
      <c r="A387" s="11" t="s">
        <v>370</v>
      </c>
      <c r="B387" s="43" t="s">
        <v>33</v>
      </c>
      <c r="C387" s="8" t="s">
        <v>85</v>
      </c>
      <c r="D387" s="15">
        <v>600</v>
      </c>
      <c r="E387" s="9" t="s">
        <v>87</v>
      </c>
      <c r="F387" s="51">
        <f>84922+2980.7</f>
        <v>87902.7</v>
      </c>
      <c r="G387" s="126">
        <v>87902.7</v>
      </c>
    </row>
    <row r="388" spans="1:7" ht="50.4">
      <c r="A388" s="11" t="s">
        <v>370</v>
      </c>
      <c r="B388" s="11" t="s">
        <v>33</v>
      </c>
      <c r="C388" s="8" t="s">
        <v>297</v>
      </c>
      <c r="D388" s="25"/>
      <c r="E388" s="9" t="s">
        <v>294</v>
      </c>
      <c r="F388" s="75">
        <f>F389</f>
        <v>75</v>
      </c>
      <c r="G388" s="126">
        <f>G389</f>
        <v>75</v>
      </c>
    </row>
    <row r="389" spans="1:7" ht="50.4">
      <c r="A389" s="11" t="s">
        <v>370</v>
      </c>
      <c r="B389" s="11" t="s">
        <v>33</v>
      </c>
      <c r="C389" s="9">
        <v>9977888</v>
      </c>
      <c r="D389" s="9"/>
      <c r="E389" s="9" t="s">
        <v>429</v>
      </c>
      <c r="F389" s="75">
        <f>F390</f>
        <v>75</v>
      </c>
      <c r="G389" s="126">
        <f>G390</f>
        <v>75</v>
      </c>
    </row>
    <row r="390" spans="1:7" ht="33.6">
      <c r="A390" s="11" t="s">
        <v>370</v>
      </c>
      <c r="B390" s="76" t="s">
        <v>33</v>
      </c>
      <c r="C390" s="9">
        <v>9977888</v>
      </c>
      <c r="D390" s="15">
        <v>600</v>
      </c>
      <c r="E390" s="9" t="s">
        <v>87</v>
      </c>
      <c r="F390" s="75">
        <v>75</v>
      </c>
      <c r="G390" s="126">
        <v>75</v>
      </c>
    </row>
    <row r="391" spans="1:7" ht="12.75">
      <c r="A391" s="43" t="s">
        <v>370</v>
      </c>
      <c r="B391" s="43" t="s">
        <v>34</v>
      </c>
      <c r="C391" s="43"/>
      <c r="D391" s="29"/>
      <c r="E391" s="30" t="s">
        <v>373</v>
      </c>
      <c r="F391" s="51">
        <f aca="true" t="shared" si="31" ref="F391:G392">F392</f>
        <v>244839.89999999997</v>
      </c>
      <c r="G391" s="126">
        <f t="shared" si="31"/>
        <v>242469.79999999996</v>
      </c>
    </row>
    <row r="392" spans="1:7" ht="50.4">
      <c r="A392" s="43" t="s">
        <v>370</v>
      </c>
      <c r="B392" s="43" t="s">
        <v>34</v>
      </c>
      <c r="C392" s="43" t="s">
        <v>81</v>
      </c>
      <c r="D392" s="29"/>
      <c r="E392" s="9" t="s">
        <v>79</v>
      </c>
      <c r="F392" s="51">
        <f t="shared" si="31"/>
        <v>244839.89999999997</v>
      </c>
      <c r="G392" s="126">
        <f t="shared" si="31"/>
        <v>242469.79999999996</v>
      </c>
    </row>
    <row r="393" spans="1:7" ht="50.4">
      <c r="A393" s="43" t="s">
        <v>370</v>
      </c>
      <c r="B393" s="11" t="s">
        <v>34</v>
      </c>
      <c r="C393" s="43" t="s">
        <v>82</v>
      </c>
      <c r="D393" s="29"/>
      <c r="E393" s="9" t="s">
        <v>80</v>
      </c>
      <c r="F393" s="51">
        <f>F394+F396+F398+F400+F402+F404+F406+F422+F414+F412+F416+F408+F410+F418+F420</f>
        <v>244839.89999999997</v>
      </c>
      <c r="G393" s="126">
        <f>G394+G396+G398+G400+G402+G404+G406+G422+G414+G412+G416+G408+G410+G418+G420</f>
        <v>242469.79999999996</v>
      </c>
    </row>
    <row r="394" spans="1:7" ht="67.2">
      <c r="A394" s="43" t="s">
        <v>370</v>
      </c>
      <c r="B394" s="11" t="s">
        <v>34</v>
      </c>
      <c r="C394" s="8" t="s">
        <v>90</v>
      </c>
      <c r="D394" s="8"/>
      <c r="E394" s="56" t="s">
        <v>91</v>
      </c>
      <c r="F394" s="51">
        <f>F395</f>
        <v>34190.9</v>
      </c>
      <c r="G394" s="126">
        <f>G395</f>
        <v>33620.6</v>
      </c>
    </row>
    <row r="395" spans="1:7" ht="33.6">
      <c r="A395" s="43" t="s">
        <v>370</v>
      </c>
      <c r="B395" s="11" t="s">
        <v>34</v>
      </c>
      <c r="C395" s="8" t="s">
        <v>90</v>
      </c>
      <c r="D395" s="15">
        <v>600</v>
      </c>
      <c r="E395" s="9" t="s">
        <v>87</v>
      </c>
      <c r="F395" s="51">
        <f>35456.3-328-937.4</f>
        <v>34190.9</v>
      </c>
      <c r="G395" s="126">
        <v>33620.6</v>
      </c>
    </row>
    <row r="396" spans="1:7" ht="50.4">
      <c r="A396" s="11" t="s">
        <v>370</v>
      </c>
      <c r="B396" s="11" t="s">
        <v>34</v>
      </c>
      <c r="C396" s="8" t="s">
        <v>92</v>
      </c>
      <c r="D396" s="8"/>
      <c r="E396" s="56" t="s">
        <v>93</v>
      </c>
      <c r="F396" s="51">
        <f>F397</f>
        <v>3681.8</v>
      </c>
      <c r="G396" s="126">
        <f>G397</f>
        <v>3681.8</v>
      </c>
    </row>
    <row r="397" spans="1:7" ht="33.6">
      <c r="A397" s="11" t="s">
        <v>370</v>
      </c>
      <c r="B397" s="11" t="s">
        <v>34</v>
      </c>
      <c r="C397" s="8" t="s">
        <v>92</v>
      </c>
      <c r="D397" s="15">
        <v>600</v>
      </c>
      <c r="E397" s="9" t="s">
        <v>87</v>
      </c>
      <c r="F397" s="51">
        <v>3681.8</v>
      </c>
      <c r="G397" s="126">
        <v>3681.8</v>
      </c>
    </row>
    <row r="398" spans="1:7" ht="50.4">
      <c r="A398" s="11" t="s">
        <v>370</v>
      </c>
      <c r="B398" s="11" t="s">
        <v>34</v>
      </c>
      <c r="C398" s="8" t="s">
        <v>94</v>
      </c>
      <c r="D398" s="8"/>
      <c r="E398" s="56" t="s">
        <v>95</v>
      </c>
      <c r="F398" s="51">
        <f>F399</f>
        <v>7686.6</v>
      </c>
      <c r="G398" s="126">
        <f>G399</f>
        <v>7667.1</v>
      </c>
    </row>
    <row r="399" spans="1:7" ht="33.6">
      <c r="A399" s="11" t="s">
        <v>370</v>
      </c>
      <c r="B399" s="11" t="s">
        <v>34</v>
      </c>
      <c r="C399" s="8" t="s">
        <v>94</v>
      </c>
      <c r="D399" s="15">
        <v>600</v>
      </c>
      <c r="E399" s="9" t="s">
        <v>87</v>
      </c>
      <c r="F399" s="51">
        <v>7686.6</v>
      </c>
      <c r="G399" s="126">
        <v>7667.1</v>
      </c>
    </row>
    <row r="400" spans="1:7" ht="50.4">
      <c r="A400" s="11" t="s">
        <v>370</v>
      </c>
      <c r="B400" s="11" t="s">
        <v>34</v>
      </c>
      <c r="C400" s="8" t="s">
        <v>318</v>
      </c>
      <c r="D400" s="8"/>
      <c r="E400" s="56" t="s">
        <v>96</v>
      </c>
      <c r="F400" s="51">
        <f>F401</f>
        <v>5136.4</v>
      </c>
      <c r="G400" s="126">
        <f>G401</f>
        <v>5136.4</v>
      </c>
    </row>
    <row r="401" spans="1:7" ht="33.6">
      <c r="A401" s="11" t="s">
        <v>370</v>
      </c>
      <c r="B401" s="11" t="s">
        <v>34</v>
      </c>
      <c r="C401" s="8" t="s">
        <v>318</v>
      </c>
      <c r="D401" s="15">
        <v>600</v>
      </c>
      <c r="E401" s="9" t="s">
        <v>87</v>
      </c>
      <c r="F401" s="51">
        <f>4554+582.4</f>
        <v>5136.4</v>
      </c>
      <c r="G401" s="126">
        <v>5136.4</v>
      </c>
    </row>
    <row r="402" spans="1:7" ht="33.6">
      <c r="A402" s="11" t="s">
        <v>370</v>
      </c>
      <c r="B402" s="11" t="s">
        <v>34</v>
      </c>
      <c r="C402" s="8" t="s">
        <v>319</v>
      </c>
      <c r="D402" s="8"/>
      <c r="E402" s="56" t="s">
        <v>97</v>
      </c>
      <c r="F402" s="51">
        <f>F403</f>
        <v>464.5</v>
      </c>
      <c r="G402" s="126">
        <f>G403</f>
        <v>464.5</v>
      </c>
    </row>
    <row r="403" spans="1:7" ht="33.6">
      <c r="A403" s="11" t="s">
        <v>370</v>
      </c>
      <c r="B403" s="11" t="s">
        <v>34</v>
      </c>
      <c r="C403" s="8" t="s">
        <v>319</v>
      </c>
      <c r="D403" s="15">
        <v>600</v>
      </c>
      <c r="E403" s="9" t="s">
        <v>87</v>
      </c>
      <c r="F403" s="51">
        <v>464.5</v>
      </c>
      <c r="G403" s="126">
        <v>464.5</v>
      </c>
    </row>
    <row r="404" spans="1:7" ht="50.4">
      <c r="A404" s="11" t="s">
        <v>370</v>
      </c>
      <c r="B404" s="11" t="s">
        <v>34</v>
      </c>
      <c r="C404" s="8" t="s">
        <v>320</v>
      </c>
      <c r="D404" s="8"/>
      <c r="E404" s="56" t="s">
        <v>99</v>
      </c>
      <c r="F404" s="51">
        <f>F405</f>
        <v>5482.1</v>
      </c>
      <c r="G404" s="126">
        <f>G405</f>
        <v>3910.3</v>
      </c>
    </row>
    <row r="405" spans="1:7" ht="33.6">
      <c r="A405" s="11" t="s">
        <v>370</v>
      </c>
      <c r="B405" s="11" t="s">
        <v>34</v>
      </c>
      <c r="C405" s="8" t="s">
        <v>320</v>
      </c>
      <c r="D405" s="15">
        <v>600</v>
      </c>
      <c r="E405" s="56" t="s">
        <v>87</v>
      </c>
      <c r="F405" s="51">
        <f>5127.1+355</f>
        <v>5482.1</v>
      </c>
      <c r="G405" s="126">
        <v>3910.3</v>
      </c>
    </row>
    <row r="406" spans="1:7" ht="50.4">
      <c r="A406" s="11" t="s">
        <v>370</v>
      </c>
      <c r="B406" s="11" t="s">
        <v>34</v>
      </c>
      <c r="C406" s="8" t="s">
        <v>100</v>
      </c>
      <c r="D406" s="8"/>
      <c r="E406" s="23" t="s">
        <v>101</v>
      </c>
      <c r="F406" s="51">
        <f>F407</f>
        <v>4852.7</v>
      </c>
      <c r="G406" s="126">
        <f>G407</f>
        <v>4644.2</v>
      </c>
    </row>
    <row r="407" spans="1:7" ht="33.6">
      <c r="A407" s="11" t="s">
        <v>370</v>
      </c>
      <c r="B407" s="11" t="s">
        <v>34</v>
      </c>
      <c r="C407" s="8" t="s">
        <v>100</v>
      </c>
      <c r="D407" s="15">
        <v>600</v>
      </c>
      <c r="E407" s="56" t="s">
        <v>87</v>
      </c>
      <c r="F407" s="51">
        <v>4852.7</v>
      </c>
      <c r="G407" s="126">
        <v>4644.2</v>
      </c>
    </row>
    <row r="408" spans="1:7" ht="50.4">
      <c r="A408" s="11" t="s">
        <v>370</v>
      </c>
      <c r="B408" s="11" t="s">
        <v>34</v>
      </c>
      <c r="C408" s="8" t="s">
        <v>438</v>
      </c>
      <c r="D408" s="8"/>
      <c r="E408" s="9" t="s">
        <v>439</v>
      </c>
      <c r="F408" s="90">
        <f>F409</f>
        <v>159.5000000000001</v>
      </c>
      <c r="G408" s="126">
        <f>G409</f>
        <v>159.5</v>
      </c>
    </row>
    <row r="409" spans="1:7" ht="33.6">
      <c r="A409" s="11" t="s">
        <v>370</v>
      </c>
      <c r="B409" s="11" t="s">
        <v>34</v>
      </c>
      <c r="C409" s="8" t="s">
        <v>438</v>
      </c>
      <c r="D409" s="88">
        <v>600</v>
      </c>
      <c r="E409" s="9" t="s">
        <v>87</v>
      </c>
      <c r="F409" s="90">
        <f>158.9+928-927.4</f>
        <v>159.5000000000001</v>
      </c>
      <c r="G409" s="126">
        <v>159.5</v>
      </c>
    </row>
    <row r="410" spans="1:7" ht="100.8">
      <c r="A410" s="11" t="s">
        <v>370</v>
      </c>
      <c r="B410" s="11" t="s">
        <v>34</v>
      </c>
      <c r="C410" s="8" t="s">
        <v>490</v>
      </c>
      <c r="D410" s="99"/>
      <c r="E410" s="9" t="s">
        <v>493</v>
      </c>
      <c r="F410" s="97">
        <f>F411</f>
        <v>1067.4</v>
      </c>
      <c r="G410" s="126">
        <f>G411</f>
        <v>1067.4</v>
      </c>
    </row>
    <row r="411" spans="1:7" ht="33.6">
      <c r="A411" s="11" t="s">
        <v>370</v>
      </c>
      <c r="B411" s="11" t="s">
        <v>34</v>
      </c>
      <c r="C411" s="8" t="s">
        <v>490</v>
      </c>
      <c r="D411" s="99">
        <v>600</v>
      </c>
      <c r="E411" s="9" t="s">
        <v>87</v>
      </c>
      <c r="F411" s="97">
        <v>1067.4</v>
      </c>
      <c r="G411" s="126">
        <v>1067.4</v>
      </c>
    </row>
    <row r="412" spans="1:7" ht="67.2">
      <c r="A412" s="11" t="s">
        <v>370</v>
      </c>
      <c r="B412" s="11" t="s">
        <v>34</v>
      </c>
      <c r="C412" s="8" t="s">
        <v>421</v>
      </c>
      <c r="D412" s="15"/>
      <c r="E412" s="9" t="s">
        <v>422</v>
      </c>
      <c r="F412" s="51">
        <f>F413</f>
        <v>3768</v>
      </c>
      <c r="G412" s="126">
        <f>G413</f>
        <v>3768</v>
      </c>
    </row>
    <row r="413" spans="1:7" ht="33.6">
      <c r="A413" s="11" t="s">
        <v>370</v>
      </c>
      <c r="B413" s="11" t="s">
        <v>34</v>
      </c>
      <c r="C413" s="8" t="s">
        <v>421</v>
      </c>
      <c r="D413" s="15">
        <v>600</v>
      </c>
      <c r="E413" s="9" t="s">
        <v>87</v>
      </c>
      <c r="F413" s="51">
        <v>3768</v>
      </c>
      <c r="G413" s="126">
        <v>3768</v>
      </c>
    </row>
    <row r="414" spans="1:7" ht="61.8" customHeight="1">
      <c r="A414" s="11" t="s">
        <v>370</v>
      </c>
      <c r="B414" s="11" t="s">
        <v>34</v>
      </c>
      <c r="C414" s="8" t="s">
        <v>399</v>
      </c>
      <c r="D414" s="15"/>
      <c r="E414" s="23" t="s">
        <v>400</v>
      </c>
      <c r="F414" s="51">
        <f>F415</f>
        <v>4234</v>
      </c>
      <c r="G414" s="126">
        <f>G415</f>
        <v>4234</v>
      </c>
    </row>
    <row r="415" spans="1:7" ht="33.6">
      <c r="A415" s="11" t="s">
        <v>370</v>
      </c>
      <c r="B415" s="11" t="s">
        <v>34</v>
      </c>
      <c r="C415" s="8" t="s">
        <v>399</v>
      </c>
      <c r="D415" s="15">
        <v>600</v>
      </c>
      <c r="E415" s="56" t="s">
        <v>87</v>
      </c>
      <c r="F415" s="51">
        <v>4234</v>
      </c>
      <c r="G415" s="126">
        <v>4234</v>
      </c>
    </row>
    <row r="416" spans="1:7" ht="67.2">
      <c r="A416" s="11" t="s">
        <v>370</v>
      </c>
      <c r="B416" s="11" t="s">
        <v>34</v>
      </c>
      <c r="C416" s="8" t="s">
        <v>423</v>
      </c>
      <c r="D416" s="15"/>
      <c r="E416" s="56" t="s">
        <v>424</v>
      </c>
      <c r="F416" s="51">
        <f>F417</f>
        <v>742.3</v>
      </c>
      <c r="G416" s="126">
        <f>G417</f>
        <v>742.3</v>
      </c>
    </row>
    <row r="417" spans="1:7" ht="33.6">
      <c r="A417" s="11" t="s">
        <v>370</v>
      </c>
      <c r="B417" s="11" t="s">
        <v>34</v>
      </c>
      <c r="C417" s="8" t="s">
        <v>423</v>
      </c>
      <c r="D417" s="15">
        <v>600</v>
      </c>
      <c r="E417" s="56" t="s">
        <v>87</v>
      </c>
      <c r="F417" s="51">
        <v>742.3</v>
      </c>
      <c r="G417" s="126">
        <v>742.3</v>
      </c>
    </row>
    <row r="418" spans="1:7" ht="100.8">
      <c r="A418" s="11" t="s">
        <v>370</v>
      </c>
      <c r="B418" s="11" t="s">
        <v>34</v>
      </c>
      <c r="C418" s="8" t="s">
        <v>492</v>
      </c>
      <c r="D418" s="99"/>
      <c r="E418" s="9" t="s">
        <v>494</v>
      </c>
      <c r="F418" s="97">
        <f>F419</f>
        <v>457.4</v>
      </c>
      <c r="G418" s="126">
        <f>G419</f>
        <v>457.4</v>
      </c>
    </row>
    <row r="419" spans="1:7" ht="33.6">
      <c r="A419" s="11" t="s">
        <v>370</v>
      </c>
      <c r="B419" s="11" t="s">
        <v>34</v>
      </c>
      <c r="C419" s="8" t="s">
        <v>492</v>
      </c>
      <c r="D419" s="99">
        <v>600</v>
      </c>
      <c r="E419" s="56" t="s">
        <v>87</v>
      </c>
      <c r="F419" s="97">
        <v>457.4</v>
      </c>
      <c r="G419" s="126">
        <v>457.4</v>
      </c>
    </row>
    <row r="420" spans="1:7" ht="100.8">
      <c r="A420" s="11" t="s">
        <v>370</v>
      </c>
      <c r="B420" s="11" t="s">
        <v>34</v>
      </c>
      <c r="C420" s="8" t="s">
        <v>496</v>
      </c>
      <c r="D420" s="117"/>
      <c r="E420" s="56" t="s">
        <v>495</v>
      </c>
      <c r="F420" s="114">
        <f>F421</f>
        <v>927.4</v>
      </c>
      <c r="G420" s="126">
        <f>G421</f>
        <v>927.4</v>
      </c>
    </row>
    <row r="421" spans="1:7" ht="33.6">
      <c r="A421" s="11" t="s">
        <v>370</v>
      </c>
      <c r="B421" s="11" t="s">
        <v>34</v>
      </c>
      <c r="C421" s="8" t="s">
        <v>496</v>
      </c>
      <c r="D421" s="117">
        <v>600</v>
      </c>
      <c r="E421" s="56" t="s">
        <v>87</v>
      </c>
      <c r="F421" s="114">
        <v>927.4</v>
      </c>
      <c r="G421" s="126">
        <v>927.4</v>
      </c>
    </row>
    <row r="422" spans="1:7" ht="117.6">
      <c r="A422" s="11" t="s">
        <v>370</v>
      </c>
      <c r="B422" s="11" t="s">
        <v>34</v>
      </c>
      <c r="C422" s="8" t="s">
        <v>112</v>
      </c>
      <c r="D422" s="8"/>
      <c r="E422" s="56" t="s">
        <v>113</v>
      </c>
      <c r="F422" s="51">
        <f>F423</f>
        <v>171988.9</v>
      </c>
      <c r="G422" s="126">
        <f>G423</f>
        <v>171988.9</v>
      </c>
    </row>
    <row r="423" spans="1:7" ht="33.6">
      <c r="A423" s="11" t="s">
        <v>370</v>
      </c>
      <c r="B423" s="43" t="s">
        <v>34</v>
      </c>
      <c r="C423" s="8" t="s">
        <v>112</v>
      </c>
      <c r="D423" s="15">
        <v>600</v>
      </c>
      <c r="E423" s="56" t="s">
        <v>87</v>
      </c>
      <c r="F423" s="51">
        <f>170210+1778.9</f>
        <v>171988.9</v>
      </c>
      <c r="G423" s="126">
        <v>171988.9</v>
      </c>
    </row>
    <row r="424" spans="1:7" ht="12.75">
      <c r="A424" s="11" t="s">
        <v>370</v>
      </c>
      <c r="B424" s="43" t="s">
        <v>20</v>
      </c>
      <c r="C424" s="43"/>
      <c r="D424" s="29"/>
      <c r="E424" s="9" t="s">
        <v>11</v>
      </c>
      <c r="F424" s="51">
        <f>F425</f>
        <v>2833.7</v>
      </c>
      <c r="G424" s="126">
        <f>G425</f>
        <v>2826</v>
      </c>
    </row>
    <row r="425" spans="1:7" ht="50.4">
      <c r="A425" s="11" t="s">
        <v>370</v>
      </c>
      <c r="B425" s="43" t="s">
        <v>20</v>
      </c>
      <c r="C425" s="43" t="s">
        <v>81</v>
      </c>
      <c r="D425" s="29"/>
      <c r="E425" s="9" t="s">
        <v>79</v>
      </c>
      <c r="F425" s="51">
        <f>F426</f>
        <v>2833.7</v>
      </c>
      <c r="G425" s="126">
        <f>G426</f>
        <v>2826</v>
      </c>
    </row>
    <row r="426" spans="1:7" ht="39" customHeight="1">
      <c r="A426" s="11" t="s">
        <v>370</v>
      </c>
      <c r="B426" s="43" t="s">
        <v>20</v>
      </c>
      <c r="C426" s="43" t="s">
        <v>82</v>
      </c>
      <c r="D426" s="29"/>
      <c r="E426" s="9" t="s">
        <v>80</v>
      </c>
      <c r="F426" s="51">
        <f>F427+F429</f>
        <v>2833.7</v>
      </c>
      <c r="G426" s="126">
        <f>G427+G429</f>
        <v>2826</v>
      </c>
    </row>
    <row r="427" spans="1:7" ht="33.6">
      <c r="A427" s="11" t="s">
        <v>370</v>
      </c>
      <c r="B427" s="43" t="s">
        <v>20</v>
      </c>
      <c r="C427" s="43" t="s">
        <v>389</v>
      </c>
      <c r="D427" s="15"/>
      <c r="E427" s="56" t="s">
        <v>390</v>
      </c>
      <c r="F427" s="51">
        <f>F428</f>
        <v>148.2</v>
      </c>
      <c r="G427" s="126">
        <f>G428</f>
        <v>148.2</v>
      </c>
    </row>
    <row r="428" spans="1:7" ht="12.75">
      <c r="A428" s="11" t="s">
        <v>370</v>
      </c>
      <c r="B428" s="43" t="s">
        <v>20</v>
      </c>
      <c r="C428" s="43" t="s">
        <v>389</v>
      </c>
      <c r="D428" s="15" t="s">
        <v>61</v>
      </c>
      <c r="E428" s="9" t="s">
        <v>62</v>
      </c>
      <c r="F428" s="51">
        <f>157.5-9.3</f>
        <v>148.2</v>
      </c>
      <c r="G428" s="126">
        <v>148.2</v>
      </c>
    </row>
    <row r="429" spans="1:7" ht="33.6">
      <c r="A429" s="11" t="s">
        <v>370</v>
      </c>
      <c r="B429" s="11" t="s">
        <v>20</v>
      </c>
      <c r="C429" s="11" t="s">
        <v>406</v>
      </c>
      <c r="D429" s="15"/>
      <c r="E429" s="9" t="s">
        <v>407</v>
      </c>
      <c r="F429" s="61">
        <f>F430+F431</f>
        <v>2685.5</v>
      </c>
      <c r="G429" s="126">
        <f>G430+G431</f>
        <v>2677.8</v>
      </c>
    </row>
    <row r="430" spans="1:7" ht="12.75">
      <c r="A430" s="11" t="s">
        <v>370</v>
      </c>
      <c r="B430" s="11" t="s">
        <v>20</v>
      </c>
      <c r="C430" s="11" t="s">
        <v>406</v>
      </c>
      <c r="D430" s="15">
        <v>300</v>
      </c>
      <c r="E430" s="9" t="s">
        <v>62</v>
      </c>
      <c r="F430" s="61">
        <f>195.9-134.8</f>
        <v>61.099999999999994</v>
      </c>
      <c r="G430" s="126">
        <v>53.4</v>
      </c>
    </row>
    <row r="431" spans="1:7" ht="33.6">
      <c r="A431" s="11" t="s">
        <v>370</v>
      </c>
      <c r="B431" s="11" t="s">
        <v>20</v>
      </c>
      <c r="C431" s="11" t="s">
        <v>406</v>
      </c>
      <c r="D431" s="15">
        <v>600</v>
      </c>
      <c r="E431" s="56" t="s">
        <v>87</v>
      </c>
      <c r="F431" s="61">
        <f>2489.6+134.8</f>
        <v>2624.4</v>
      </c>
      <c r="G431" s="126">
        <v>2624.4</v>
      </c>
    </row>
    <row r="432" spans="1:7" ht="12.75">
      <c r="A432" s="11" t="s">
        <v>370</v>
      </c>
      <c r="B432" s="43" t="s">
        <v>35</v>
      </c>
      <c r="C432" s="43"/>
      <c r="D432" s="29"/>
      <c r="E432" s="9" t="s">
        <v>376</v>
      </c>
      <c r="F432" s="51">
        <f aca="true" t="shared" si="32" ref="F432:G433">F433</f>
        <v>15510.4</v>
      </c>
      <c r="G432" s="126">
        <f t="shared" si="32"/>
        <v>15488.599999999999</v>
      </c>
    </row>
    <row r="433" spans="1:7" ht="50.4">
      <c r="A433" s="11" t="s">
        <v>370</v>
      </c>
      <c r="B433" s="43" t="s">
        <v>35</v>
      </c>
      <c r="C433" s="43" t="s">
        <v>81</v>
      </c>
      <c r="D433" s="29"/>
      <c r="E433" s="9" t="s">
        <v>79</v>
      </c>
      <c r="F433" s="51">
        <f t="shared" si="32"/>
        <v>15510.4</v>
      </c>
      <c r="G433" s="126">
        <f t="shared" si="32"/>
        <v>15488.599999999999</v>
      </c>
    </row>
    <row r="434" spans="1:7" ht="12.75">
      <c r="A434" s="11" t="s">
        <v>370</v>
      </c>
      <c r="B434" s="43" t="s">
        <v>35</v>
      </c>
      <c r="C434" s="8" t="s">
        <v>102</v>
      </c>
      <c r="D434" s="8"/>
      <c r="E434" s="56" t="s">
        <v>343</v>
      </c>
      <c r="F434" s="51">
        <f>F435+F438+F442</f>
        <v>15510.4</v>
      </c>
      <c r="G434" s="126">
        <f>G435+G438+G442</f>
        <v>15488.599999999999</v>
      </c>
    </row>
    <row r="435" spans="1:7" ht="78.6" customHeight="1">
      <c r="A435" s="11" t="s">
        <v>370</v>
      </c>
      <c r="B435" s="43" t="s">
        <v>35</v>
      </c>
      <c r="C435" s="8" t="s">
        <v>103</v>
      </c>
      <c r="D435" s="8"/>
      <c r="E435" s="23" t="s">
        <v>63</v>
      </c>
      <c r="F435" s="51">
        <f>F436+F437</f>
        <v>2041.1000000000004</v>
      </c>
      <c r="G435" s="126">
        <f>G436+G437</f>
        <v>2041.1000000000001</v>
      </c>
    </row>
    <row r="436" spans="1:7" ht="84">
      <c r="A436" s="11" t="s">
        <v>370</v>
      </c>
      <c r="B436" s="43" t="s">
        <v>35</v>
      </c>
      <c r="C436" s="8" t="s">
        <v>103</v>
      </c>
      <c r="D436" s="67" t="s">
        <v>55</v>
      </c>
      <c r="E436" s="9" t="s">
        <v>346</v>
      </c>
      <c r="F436" s="51">
        <f>1912.4+65.4+6.4</f>
        <v>1984.2000000000003</v>
      </c>
      <c r="G436" s="126">
        <v>1984.2</v>
      </c>
    </row>
    <row r="437" spans="1:7" ht="33.6">
      <c r="A437" s="11" t="s">
        <v>370</v>
      </c>
      <c r="B437" s="43" t="s">
        <v>35</v>
      </c>
      <c r="C437" s="8" t="s">
        <v>103</v>
      </c>
      <c r="D437" s="67" t="s">
        <v>56</v>
      </c>
      <c r="E437" s="9" t="s">
        <v>57</v>
      </c>
      <c r="F437" s="51">
        <f>63.3-6.4</f>
        <v>56.9</v>
      </c>
      <c r="G437" s="126">
        <v>56.9</v>
      </c>
    </row>
    <row r="438" spans="1:7" ht="50.4">
      <c r="A438" s="11" t="s">
        <v>370</v>
      </c>
      <c r="B438" s="43" t="s">
        <v>35</v>
      </c>
      <c r="C438" s="8" t="s">
        <v>104</v>
      </c>
      <c r="D438" s="8"/>
      <c r="E438" s="23" t="s">
        <v>197</v>
      </c>
      <c r="F438" s="51">
        <f>F439+F440+F441</f>
        <v>8601.9</v>
      </c>
      <c r="G438" s="126">
        <f>G439+G440+G441</f>
        <v>8581.099999999999</v>
      </c>
    </row>
    <row r="439" spans="1:7" ht="84">
      <c r="A439" s="11" t="s">
        <v>370</v>
      </c>
      <c r="B439" s="43" t="s">
        <v>35</v>
      </c>
      <c r="C439" s="8" t="s">
        <v>104</v>
      </c>
      <c r="D439" s="67" t="s">
        <v>55</v>
      </c>
      <c r="E439" s="9" t="s">
        <v>346</v>
      </c>
      <c r="F439" s="51">
        <f>6630.2+55</f>
        <v>6685.2</v>
      </c>
      <c r="G439" s="126">
        <v>6684.8</v>
      </c>
    </row>
    <row r="440" spans="1:7" ht="33.6">
      <c r="A440" s="11" t="s">
        <v>370</v>
      </c>
      <c r="B440" s="43" t="s">
        <v>35</v>
      </c>
      <c r="C440" s="8" t="s">
        <v>104</v>
      </c>
      <c r="D440" s="67" t="s">
        <v>56</v>
      </c>
      <c r="E440" s="9" t="s">
        <v>57</v>
      </c>
      <c r="F440" s="51">
        <f>1700.6-2.7</f>
        <v>1697.8999999999999</v>
      </c>
      <c r="G440" s="126">
        <v>1677.5</v>
      </c>
    </row>
    <row r="441" spans="1:7" ht="12.75">
      <c r="A441" s="11" t="s">
        <v>370</v>
      </c>
      <c r="B441" s="43" t="s">
        <v>35</v>
      </c>
      <c r="C441" s="8" t="s">
        <v>104</v>
      </c>
      <c r="D441" s="67" t="s">
        <v>58</v>
      </c>
      <c r="E441" s="70" t="s">
        <v>59</v>
      </c>
      <c r="F441" s="51">
        <f>216.1+2.7</f>
        <v>218.79999999999998</v>
      </c>
      <c r="G441" s="126">
        <v>218.8</v>
      </c>
    </row>
    <row r="442" spans="1:7" ht="50.4">
      <c r="A442" s="11" t="s">
        <v>370</v>
      </c>
      <c r="B442" s="43" t="s">
        <v>35</v>
      </c>
      <c r="C442" s="8" t="s">
        <v>106</v>
      </c>
      <c r="D442" s="8"/>
      <c r="E442" s="23" t="s">
        <v>105</v>
      </c>
      <c r="F442" s="51">
        <f>F443+F444</f>
        <v>4867.4</v>
      </c>
      <c r="G442" s="126">
        <f>G443+G444</f>
        <v>4866.4</v>
      </c>
    </row>
    <row r="443" spans="1:7" ht="84">
      <c r="A443" s="11" t="s">
        <v>370</v>
      </c>
      <c r="B443" s="43" t="s">
        <v>35</v>
      </c>
      <c r="C443" s="8" t="s">
        <v>106</v>
      </c>
      <c r="D443" s="67" t="s">
        <v>55</v>
      </c>
      <c r="E443" s="9" t="s">
        <v>346</v>
      </c>
      <c r="F443" s="51">
        <v>4113.4</v>
      </c>
      <c r="G443" s="126">
        <v>4112.4</v>
      </c>
    </row>
    <row r="444" spans="1:7" ht="33.6">
      <c r="A444" s="11" t="s">
        <v>370</v>
      </c>
      <c r="B444" s="43" t="s">
        <v>35</v>
      </c>
      <c r="C444" s="8" t="s">
        <v>106</v>
      </c>
      <c r="D444" s="67" t="s">
        <v>56</v>
      </c>
      <c r="E444" s="9" t="s">
        <v>57</v>
      </c>
      <c r="F444" s="51">
        <f>809-55</f>
        <v>754</v>
      </c>
      <c r="G444" s="126">
        <v>754</v>
      </c>
    </row>
    <row r="445" spans="1:7" ht="12.75">
      <c r="A445" s="11" t="s">
        <v>370</v>
      </c>
      <c r="B445" s="43" t="s">
        <v>21</v>
      </c>
      <c r="C445" s="43"/>
      <c r="D445" s="29"/>
      <c r="E445" s="30" t="s">
        <v>13</v>
      </c>
      <c r="F445" s="51">
        <f>F446+F453</f>
        <v>8215.9</v>
      </c>
      <c r="G445" s="126">
        <f>G446+G453</f>
        <v>7830.7</v>
      </c>
    </row>
    <row r="446" spans="1:7" ht="12.75">
      <c r="A446" s="11" t="s">
        <v>370</v>
      </c>
      <c r="B446" s="43" t="s">
        <v>22</v>
      </c>
      <c r="C446" s="43"/>
      <c r="D446" s="29"/>
      <c r="E446" s="9" t="s">
        <v>16</v>
      </c>
      <c r="F446" s="51">
        <f>F447</f>
        <v>461.8</v>
      </c>
      <c r="G446" s="126">
        <f>G447</f>
        <v>391.9</v>
      </c>
    </row>
    <row r="447" spans="1:7" ht="50.4">
      <c r="A447" s="11" t="s">
        <v>370</v>
      </c>
      <c r="B447" s="43" t="s">
        <v>22</v>
      </c>
      <c r="C447" s="43" t="s">
        <v>81</v>
      </c>
      <c r="D447" s="29"/>
      <c r="E447" s="9" t="s">
        <v>79</v>
      </c>
      <c r="F447" s="51">
        <f>F448</f>
        <v>461.8</v>
      </c>
      <c r="G447" s="126">
        <f>G448</f>
        <v>391.9</v>
      </c>
    </row>
    <row r="448" spans="1:7" ht="50.4">
      <c r="A448" s="11" t="s">
        <v>370</v>
      </c>
      <c r="B448" s="43" t="s">
        <v>22</v>
      </c>
      <c r="C448" s="43" t="s">
        <v>82</v>
      </c>
      <c r="D448" s="29"/>
      <c r="E448" s="9" t="s">
        <v>80</v>
      </c>
      <c r="F448" s="51">
        <f>F449+F451</f>
        <v>461.8</v>
      </c>
      <c r="G448" s="126">
        <f>G449+G451</f>
        <v>391.9</v>
      </c>
    </row>
    <row r="449" spans="1:7" ht="100.8">
      <c r="A449" s="11" t="s">
        <v>370</v>
      </c>
      <c r="B449" s="43" t="s">
        <v>22</v>
      </c>
      <c r="C449" s="8" t="s">
        <v>321</v>
      </c>
      <c r="D449" s="8"/>
      <c r="E449" s="56" t="s">
        <v>107</v>
      </c>
      <c r="F449" s="51">
        <f>F450</f>
        <v>265.8</v>
      </c>
      <c r="G449" s="126">
        <f>G450</f>
        <v>195.9</v>
      </c>
    </row>
    <row r="450" spans="1:7" ht="12.75">
      <c r="A450" s="11" t="s">
        <v>370</v>
      </c>
      <c r="B450" s="15">
        <v>1003</v>
      </c>
      <c r="C450" s="8" t="s">
        <v>321</v>
      </c>
      <c r="D450" s="29" t="s">
        <v>61</v>
      </c>
      <c r="E450" s="9" t="s">
        <v>62</v>
      </c>
      <c r="F450" s="51">
        <v>265.8</v>
      </c>
      <c r="G450" s="126">
        <v>195.9</v>
      </c>
    </row>
    <row r="451" spans="1:7" ht="168">
      <c r="A451" s="11" t="s">
        <v>370</v>
      </c>
      <c r="B451" s="43" t="s">
        <v>22</v>
      </c>
      <c r="C451" s="8" t="s">
        <v>391</v>
      </c>
      <c r="D451" s="29"/>
      <c r="E451" s="56" t="s">
        <v>392</v>
      </c>
      <c r="F451" s="51">
        <f>F452</f>
        <v>196</v>
      </c>
      <c r="G451" s="126">
        <f>G452</f>
        <v>196</v>
      </c>
    </row>
    <row r="452" spans="1:7" ht="12.75">
      <c r="A452" s="11" t="s">
        <v>370</v>
      </c>
      <c r="B452" s="15">
        <v>1003</v>
      </c>
      <c r="C452" s="8" t="s">
        <v>391</v>
      </c>
      <c r="D452" s="29" t="s">
        <v>61</v>
      </c>
      <c r="E452" s="9" t="s">
        <v>62</v>
      </c>
      <c r="F452" s="51">
        <f>22.1+27.2+25.3+40.1+38.9+42.4</f>
        <v>196</v>
      </c>
      <c r="G452" s="126">
        <v>196</v>
      </c>
    </row>
    <row r="453" spans="1:7" ht="12.75">
      <c r="A453" s="43" t="s">
        <v>370</v>
      </c>
      <c r="B453" s="15">
        <v>1004</v>
      </c>
      <c r="C453" s="43"/>
      <c r="D453" s="29"/>
      <c r="E453" s="9" t="s">
        <v>109</v>
      </c>
      <c r="F453" s="51">
        <f aca="true" t="shared" si="33" ref="F453:G456">F454</f>
        <v>7754.1</v>
      </c>
      <c r="G453" s="126">
        <f t="shared" si="33"/>
        <v>7438.8</v>
      </c>
    </row>
    <row r="454" spans="1:7" ht="50.4">
      <c r="A454" s="43" t="s">
        <v>370</v>
      </c>
      <c r="B454" s="15">
        <v>1004</v>
      </c>
      <c r="C454" s="43" t="s">
        <v>81</v>
      </c>
      <c r="D454" s="29"/>
      <c r="E454" s="9" t="s">
        <v>79</v>
      </c>
      <c r="F454" s="51">
        <f t="shared" si="33"/>
        <v>7754.1</v>
      </c>
      <c r="G454" s="126">
        <f t="shared" si="33"/>
        <v>7438.8</v>
      </c>
    </row>
    <row r="455" spans="1:7" ht="42.6" customHeight="1">
      <c r="A455" s="43" t="s">
        <v>370</v>
      </c>
      <c r="B455" s="15">
        <v>1004</v>
      </c>
      <c r="C455" s="43" t="s">
        <v>82</v>
      </c>
      <c r="D455" s="29"/>
      <c r="E455" s="9" t="s">
        <v>80</v>
      </c>
      <c r="F455" s="51">
        <f t="shared" si="33"/>
        <v>7754.1</v>
      </c>
      <c r="G455" s="126">
        <f t="shared" si="33"/>
        <v>7438.8</v>
      </c>
    </row>
    <row r="456" spans="1:7" ht="74.4" customHeight="1">
      <c r="A456" s="43" t="s">
        <v>370</v>
      </c>
      <c r="B456" s="15">
        <v>1004</v>
      </c>
      <c r="C456" s="43" t="s">
        <v>110</v>
      </c>
      <c r="D456" s="8"/>
      <c r="E456" s="56" t="s">
        <v>111</v>
      </c>
      <c r="F456" s="51">
        <f t="shared" si="33"/>
        <v>7754.1</v>
      </c>
      <c r="G456" s="126">
        <f t="shared" si="33"/>
        <v>7438.8</v>
      </c>
    </row>
    <row r="457" spans="1:7" ht="12.75">
      <c r="A457" s="43" t="s">
        <v>370</v>
      </c>
      <c r="B457" s="43" t="s">
        <v>108</v>
      </c>
      <c r="C457" s="8" t="s">
        <v>110</v>
      </c>
      <c r="D457" s="29" t="s">
        <v>61</v>
      </c>
      <c r="E457" s="9" t="s">
        <v>62</v>
      </c>
      <c r="F457" s="51">
        <f>5083.8+2670.3</f>
        <v>7754.1</v>
      </c>
      <c r="G457" s="126">
        <v>7438.8</v>
      </c>
    </row>
  </sheetData>
  <mergeCells count="4">
    <mergeCell ref="F1:G1"/>
    <mergeCell ref="C2:G2"/>
    <mergeCell ref="B3:G3"/>
    <mergeCell ref="A5:G5"/>
  </mergeCells>
  <printOptions/>
  <pageMargins left="0.5905511811023623" right="0" top="0.1968503937007874" bottom="0" header="0" footer="0"/>
  <pageSetup fitToHeight="0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1"/>
  <sheetViews>
    <sheetView workbookViewId="0" topLeftCell="A1">
      <selection activeCell="J5" sqref="J5"/>
    </sheetView>
  </sheetViews>
  <sheetFormatPr defaultColWidth="9.125" defaultRowHeight="12.75"/>
  <cols>
    <col min="1" max="1" width="7.125" style="63" customWidth="1"/>
    <col min="2" max="2" width="10.125" style="77" customWidth="1"/>
    <col min="3" max="3" width="7.00390625" style="44" customWidth="1"/>
    <col min="4" max="4" width="66.00390625" style="1" customWidth="1"/>
    <col min="5" max="5" width="15.125" style="48" customWidth="1"/>
    <col min="6" max="6" width="14.00390625" style="48" customWidth="1"/>
    <col min="7" max="16384" width="9.125" style="1" customWidth="1"/>
  </cols>
  <sheetData>
    <row r="1" spans="1:6" ht="12.75">
      <c r="A1" s="184"/>
      <c r="B1" s="185"/>
      <c r="C1" s="186"/>
      <c r="D1" s="187"/>
      <c r="E1" s="319" t="s">
        <v>575</v>
      </c>
      <c r="F1" s="319"/>
    </row>
    <row r="2" spans="1:6" ht="12.75">
      <c r="A2" s="184"/>
      <c r="B2" s="320" t="s">
        <v>378</v>
      </c>
      <c r="C2" s="320"/>
      <c r="D2" s="320"/>
      <c r="E2" s="320"/>
      <c r="F2" s="320"/>
    </row>
    <row r="3" spans="1:6" ht="12.75">
      <c r="A3" s="321" t="s">
        <v>1133</v>
      </c>
      <c r="B3" s="321"/>
      <c r="C3" s="321"/>
      <c r="D3" s="321"/>
      <c r="E3" s="321"/>
      <c r="F3" s="321"/>
    </row>
    <row r="4" spans="1:6" ht="12.75">
      <c r="A4" s="64"/>
      <c r="B4" s="78"/>
      <c r="C4" s="45"/>
      <c r="D4" s="33"/>
      <c r="E4" s="49"/>
      <c r="F4" s="49"/>
    </row>
    <row r="5" spans="1:6" s="34" customFormat="1" ht="63.6" customHeight="1">
      <c r="A5" s="318" t="s">
        <v>1129</v>
      </c>
      <c r="B5" s="318"/>
      <c r="C5" s="318"/>
      <c r="D5" s="318"/>
      <c r="E5" s="318"/>
      <c r="F5" s="318"/>
    </row>
    <row r="6" spans="1:6" ht="12.75">
      <c r="A6" s="65"/>
      <c r="B6" s="79"/>
      <c r="C6" s="46"/>
      <c r="D6" s="32"/>
      <c r="E6" s="50"/>
      <c r="F6" s="179" t="s">
        <v>565</v>
      </c>
    </row>
    <row r="7" spans="1:6" ht="50.4">
      <c r="A7" s="196" t="s">
        <v>18</v>
      </c>
      <c r="B7" s="127" t="s">
        <v>382</v>
      </c>
      <c r="C7" s="196" t="s">
        <v>383</v>
      </c>
      <c r="D7" s="196" t="s">
        <v>384</v>
      </c>
      <c r="E7" s="194" t="s">
        <v>558</v>
      </c>
      <c r="F7" s="197" t="s">
        <v>559</v>
      </c>
    </row>
    <row r="8" spans="1:6" ht="12.75">
      <c r="A8" s="28">
        <v>1</v>
      </c>
      <c r="B8" s="41" t="s">
        <v>67</v>
      </c>
      <c r="C8" s="196">
        <v>3</v>
      </c>
      <c r="D8" s="28">
        <v>4</v>
      </c>
      <c r="E8" s="53">
        <v>5</v>
      </c>
      <c r="F8" s="53">
        <v>6</v>
      </c>
    </row>
    <row r="9" spans="1:6" s="36" customFormat="1" ht="12.75">
      <c r="A9" s="66"/>
      <c r="B9" s="80"/>
      <c r="C9" s="47"/>
      <c r="D9" s="35" t="s">
        <v>341</v>
      </c>
      <c r="E9" s="52">
        <f>E10+E96+E111+E148+E184+E288+E327+E374+E397+E416</f>
        <v>688790.2999999998</v>
      </c>
      <c r="F9" s="52">
        <f>F10+F96+F111+F148+F184+F288+F327+F374+F397+F416</f>
        <v>663467.1</v>
      </c>
    </row>
    <row r="10" spans="1:6" s="36" customFormat="1" ht="12.75">
      <c r="A10" s="26" t="s">
        <v>37</v>
      </c>
      <c r="B10" s="26"/>
      <c r="C10" s="26"/>
      <c r="D10" s="27" t="s">
        <v>386</v>
      </c>
      <c r="E10" s="52">
        <f>E11+E16+E27+E37+E44</f>
        <v>72939.8</v>
      </c>
      <c r="F10" s="52">
        <f>F11+F16+F27+F37+F44</f>
        <v>66268.7</v>
      </c>
    </row>
    <row r="11" spans="1:6" ht="33.6">
      <c r="A11" s="25" t="s">
        <v>25</v>
      </c>
      <c r="B11" s="25"/>
      <c r="C11" s="25"/>
      <c r="D11" s="23" t="s">
        <v>42</v>
      </c>
      <c r="E11" s="126">
        <f aca="true" t="shared" si="0" ref="E11:F14">E12</f>
        <v>1418.3</v>
      </c>
      <c r="F11" s="126">
        <f t="shared" si="0"/>
        <v>1418.3</v>
      </c>
    </row>
    <row r="12" spans="1:6" ht="50.4">
      <c r="A12" s="25" t="s">
        <v>25</v>
      </c>
      <c r="B12" s="127" t="s">
        <v>342</v>
      </c>
      <c r="C12" s="196"/>
      <c r="D12" s="23" t="s">
        <v>322</v>
      </c>
      <c r="E12" s="126">
        <f t="shared" si="0"/>
        <v>1418.3</v>
      </c>
      <c r="F12" s="126">
        <f t="shared" si="0"/>
        <v>1418.3</v>
      </c>
    </row>
    <row r="13" spans="1:6" ht="12.75">
      <c r="A13" s="25" t="s">
        <v>25</v>
      </c>
      <c r="B13" s="127" t="s">
        <v>344</v>
      </c>
      <c r="C13" s="196"/>
      <c r="D13" s="23" t="s">
        <v>343</v>
      </c>
      <c r="E13" s="126">
        <f t="shared" si="0"/>
        <v>1418.3</v>
      </c>
      <c r="F13" s="126">
        <f t="shared" si="0"/>
        <v>1418.3</v>
      </c>
    </row>
    <row r="14" spans="1:6" ht="12.75">
      <c r="A14" s="25" t="s">
        <v>25</v>
      </c>
      <c r="B14" s="8" t="s">
        <v>310</v>
      </c>
      <c r="C14" s="8"/>
      <c r="D14" s="23" t="s">
        <v>0</v>
      </c>
      <c r="E14" s="126">
        <f t="shared" si="0"/>
        <v>1418.3</v>
      </c>
      <c r="F14" s="126">
        <f t="shared" si="0"/>
        <v>1418.3</v>
      </c>
    </row>
    <row r="15" spans="1:6" ht="69" customHeight="1">
      <c r="A15" s="25" t="s">
        <v>25</v>
      </c>
      <c r="B15" s="8" t="s">
        <v>310</v>
      </c>
      <c r="C15" s="196">
        <v>100</v>
      </c>
      <c r="D15" s="19" t="s">
        <v>346</v>
      </c>
      <c r="E15" s="126">
        <f>'№8 ведом.'!F16</f>
        <v>1418.3</v>
      </c>
      <c r="F15" s="126">
        <f>'№8 ведом.'!G16</f>
        <v>1418.3</v>
      </c>
    </row>
    <row r="16" spans="1:6" ht="50.4">
      <c r="A16" s="127" t="s">
        <v>26</v>
      </c>
      <c r="B16" s="127"/>
      <c r="C16" s="196"/>
      <c r="D16" s="9" t="s">
        <v>1</v>
      </c>
      <c r="E16" s="126">
        <f aca="true" t="shared" si="1" ref="E16:F17">E17</f>
        <v>4487</v>
      </c>
      <c r="F16" s="126">
        <f t="shared" si="1"/>
        <v>4440.7</v>
      </c>
    </row>
    <row r="17" spans="1:6" ht="12.75">
      <c r="A17" s="127" t="s">
        <v>26</v>
      </c>
      <c r="B17" s="3">
        <v>9900000</v>
      </c>
      <c r="C17" s="81"/>
      <c r="D17" s="24" t="s">
        <v>352</v>
      </c>
      <c r="E17" s="126">
        <f t="shared" si="1"/>
        <v>4487</v>
      </c>
      <c r="F17" s="126">
        <f t="shared" si="1"/>
        <v>4440.7</v>
      </c>
    </row>
    <row r="18" spans="1:6" ht="50.4">
      <c r="A18" s="127" t="s">
        <v>26</v>
      </c>
      <c r="B18" s="3">
        <v>9990000</v>
      </c>
      <c r="C18" s="8" t="s">
        <v>53</v>
      </c>
      <c r="D18" s="24" t="s">
        <v>353</v>
      </c>
      <c r="E18" s="126">
        <f>E19+E21</f>
        <v>4487</v>
      </c>
      <c r="F18" s="126">
        <f>F19+F21</f>
        <v>4440.7</v>
      </c>
    </row>
    <row r="19" spans="1:6" ht="12.75">
      <c r="A19" s="127" t="s">
        <v>26</v>
      </c>
      <c r="B19" s="3">
        <v>9999410</v>
      </c>
      <c r="C19" s="8" t="s">
        <v>53</v>
      </c>
      <c r="D19" s="24" t="s">
        <v>354</v>
      </c>
      <c r="E19" s="126">
        <f>E20</f>
        <v>1201.9</v>
      </c>
      <c r="F19" s="126">
        <f>F20</f>
        <v>1199.5</v>
      </c>
    </row>
    <row r="20" spans="1:6" ht="79.2" customHeight="1">
      <c r="A20" s="127" t="s">
        <v>26</v>
      </c>
      <c r="B20" s="3">
        <v>9999410</v>
      </c>
      <c r="C20" s="55" t="s">
        <v>55</v>
      </c>
      <c r="D20" s="9" t="s">
        <v>346</v>
      </c>
      <c r="E20" s="126">
        <f>'№8 ведом.'!F292</f>
        <v>1201.9</v>
      </c>
      <c r="F20" s="126">
        <f>'№8 ведом.'!G292</f>
        <v>1199.5</v>
      </c>
    </row>
    <row r="21" spans="1:6" ht="50.4">
      <c r="A21" s="127" t="s">
        <v>26</v>
      </c>
      <c r="B21" s="3">
        <v>9999420</v>
      </c>
      <c r="C21" s="8" t="s">
        <v>53</v>
      </c>
      <c r="D21" s="24" t="s">
        <v>355</v>
      </c>
      <c r="E21" s="126">
        <f>E22+E23+E24</f>
        <v>3285.1</v>
      </c>
      <c r="F21" s="126">
        <f>F22+F23+F24</f>
        <v>3241.2</v>
      </c>
    </row>
    <row r="22" spans="1:6" ht="78" customHeight="1">
      <c r="A22" s="127" t="s">
        <v>26</v>
      </c>
      <c r="B22" s="3">
        <v>9999420</v>
      </c>
      <c r="C22" s="55" t="s">
        <v>55</v>
      </c>
      <c r="D22" s="9" t="s">
        <v>346</v>
      </c>
      <c r="E22" s="126">
        <f>'№8 ведом.'!F294</f>
        <v>1971.3</v>
      </c>
      <c r="F22" s="126">
        <f>'№8 ведом.'!G294</f>
        <v>1938.3</v>
      </c>
    </row>
    <row r="23" spans="1:6" ht="33.6">
      <c r="A23" s="127" t="s">
        <v>26</v>
      </c>
      <c r="B23" s="3">
        <v>9999420</v>
      </c>
      <c r="C23" s="55" t="s">
        <v>56</v>
      </c>
      <c r="D23" s="9" t="s">
        <v>57</v>
      </c>
      <c r="E23" s="126">
        <f>'№8 ведом.'!F295</f>
        <v>1310.3</v>
      </c>
      <c r="F23" s="126">
        <f>'№8 ведом.'!G295</f>
        <v>1299.9</v>
      </c>
    </row>
    <row r="24" spans="1:6" ht="12.75">
      <c r="A24" s="127" t="s">
        <v>26</v>
      </c>
      <c r="B24" s="3">
        <v>9999420</v>
      </c>
      <c r="C24" s="55" t="s">
        <v>58</v>
      </c>
      <c r="D24" s="60" t="s">
        <v>59</v>
      </c>
      <c r="E24" s="126">
        <f>'№8 ведом.'!F296</f>
        <v>3.5</v>
      </c>
      <c r="F24" s="126">
        <f>'№8 ведом.'!G296</f>
        <v>3</v>
      </c>
    </row>
    <row r="25" spans="1:6" ht="50.4">
      <c r="A25" s="25" t="s">
        <v>27</v>
      </c>
      <c r="B25" s="25"/>
      <c r="C25" s="25"/>
      <c r="D25" s="23" t="s">
        <v>2</v>
      </c>
      <c r="E25" s="126">
        <f aca="true" t="shared" si="2" ref="E25:F26">E26</f>
        <v>35646.600000000006</v>
      </c>
      <c r="F25" s="126">
        <f t="shared" si="2"/>
        <v>35279</v>
      </c>
    </row>
    <row r="26" spans="1:6" ht="50.4">
      <c r="A26" s="25" t="s">
        <v>27</v>
      </c>
      <c r="B26" s="127" t="s">
        <v>342</v>
      </c>
      <c r="C26" s="196"/>
      <c r="D26" s="23" t="s">
        <v>322</v>
      </c>
      <c r="E26" s="126">
        <f t="shared" si="2"/>
        <v>35646.600000000006</v>
      </c>
      <c r="F26" s="126">
        <f t="shared" si="2"/>
        <v>35279</v>
      </c>
    </row>
    <row r="27" spans="1:6" ht="12.75">
      <c r="A27" s="25" t="s">
        <v>27</v>
      </c>
      <c r="B27" s="127" t="s">
        <v>344</v>
      </c>
      <c r="C27" s="196"/>
      <c r="D27" s="23" t="s">
        <v>343</v>
      </c>
      <c r="E27" s="126">
        <f>E28+E32+E34</f>
        <v>35646.600000000006</v>
      </c>
      <c r="F27" s="126">
        <f>F28+F32+F34</f>
        <v>35279</v>
      </c>
    </row>
    <row r="28" spans="1:6" ht="67.2">
      <c r="A28" s="25" t="s">
        <v>27</v>
      </c>
      <c r="B28" s="8" t="s">
        <v>311</v>
      </c>
      <c r="C28" s="8"/>
      <c r="D28" s="23" t="s">
        <v>63</v>
      </c>
      <c r="E28" s="126">
        <f>E29+E30+E31</f>
        <v>34900.8</v>
      </c>
      <c r="F28" s="126">
        <f>F29+F30+F31</f>
        <v>34534.1</v>
      </c>
    </row>
    <row r="29" spans="1:6" ht="79.2" customHeight="1">
      <c r="A29" s="25" t="s">
        <v>27</v>
      </c>
      <c r="B29" s="8" t="s">
        <v>311</v>
      </c>
      <c r="C29" s="55" t="s">
        <v>55</v>
      </c>
      <c r="D29" s="9" t="s">
        <v>346</v>
      </c>
      <c r="E29" s="126">
        <f>'№8 ведом.'!F21</f>
        <v>30010.5</v>
      </c>
      <c r="F29" s="126">
        <f>'№8 ведом.'!G21</f>
        <v>30010</v>
      </c>
    </row>
    <row r="30" spans="1:6" ht="33.6">
      <c r="A30" s="25" t="s">
        <v>27</v>
      </c>
      <c r="B30" s="8" t="s">
        <v>311</v>
      </c>
      <c r="C30" s="55" t="s">
        <v>56</v>
      </c>
      <c r="D30" s="9" t="s">
        <v>57</v>
      </c>
      <c r="E30" s="126">
        <f>'№8 ведом.'!F22</f>
        <v>4645.8</v>
      </c>
      <c r="F30" s="126">
        <f>'№8 ведом.'!G22</f>
        <v>4288</v>
      </c>
    </row>
    <row r="31" spans="1:6" ht="12.75">
      <c r="A31" s="25" t="s">
        <v>27</v>
      </c>
      <c r="B31" s="8" t="s">
        <v>311</v>
      </c>
      <c r="C31" s="55" t="s">
        <v>58</v>
      </c>
      <c r="D31" s="60" t="s">
        <v>59</v>
      </c>
      <c r="E31" s="126">
        <f>'№8 ведом.'!F23</f>
        <v>244.5</v>
      </c>
      <c r="F31" s="126">
        <f>'№8 ведом.'!G23</f>
        <v>236.1</v>
      </c>
    </row>
    <row r="32" spans="1:6" ht="67.2">
      <c r="A32" s="25" t="s">
        <v>27</v>
      </c>
      <c r="B32" s="8" t="s">
        <v>347</v>
      </c>
      <c r="C32" s="8"/>
      <c r="D32" s="9" t="s">
        <v>64</v>
      </c>
      <c r="E32" s="126">
        <f>E33</f>
        <v>122.4</v>
      </c>
      <c r="F32" s="126">
        <f>F33</f>
        <v>122.4</v>
      </c>
    </row>
    <row r="33" spans="1:6" ht="84">
      <c r="A33" s="25" t="s">
        <v>27</v>
      </c>
      <c r="B33" s="8" t="s">
        <v>347</v>
      </c>
      <c r="C33" s="55" t="s">
        <v>55</v>
      </c>
      <c r="D33" s="9" t="s">
        <v>346</v>
      </c>
      <c r="E33" s="126">
        <f>'№8 ведом.'!F25</f>
        <v>122.4</v>
      </c>
      <c r="F33" s="126">
        <f>'№8 ведом.'!G25</f>
        <v>122.4</v>
      </c>
    </row>
    <row r="34" spans="1:6" ht="67.2">
      <c r="A34" s="25" t="s">
        <v>27</v>
      </c>
      <c r="B34" s="8" t="s">
        <v>348</v>
      </c>
      <c r="C34" s="8"/>
      <c r="D34" s="56" t="s">
        <v>349</v>
      </c>
      <c r="E34" s="126">
        <f>E35+E36</f>
        <v>623.4</v>
      </c>
      <c r="F34" s="126">
        <f>F35+F36</f>
        <v>622.5</v>
      </c>
    </row>
    <row r="35" spans="1:6" ht="77.4" customHeight="1">
      <c r="A35" s="25" t="s">
        <v>27</v>
      </c>
      <c r="B35" s="8" t="s">
        <v>348</v>
      </c>
      <c r="C35" s="55" t="s">
        <v>55</v>
      </c>
      <c r="D35" s="9" t="s">
        <v>346</v>
      </c>
      <c r="E35" s="126">
        <f>'№8 ведом.'!F27</f>
        <v>544.9</v>
      </c>
      <c r="F35" s="126">
        <f>'№8 ведом.'!G27</f>
        <v>544.8</v>
      </c>
    </row>
    <row r="36" spans="1:6" ht="33.6">
      <c r="A36" s="25" t="s">
        <v>27</v>
      </c>
      <c r="B36" s="8" t="s">
        <v>348</v>
      </c>
      <c r="C36" s="55" t="s">
        <v>56</v>
      </c>
      <c r="D36" s="9" t="s">
        <v>57</v>
      </c>
      <c r="E36" s="126">
        <f>'№8 ведом.'!F28</f>
        <v>78.5</v>
      </c>
      <c r="F36" s="126">
        <f>'№8 ведом.'!G28</f>
        <v>77.7</v>
      </c>
    </row>
    <row r="37" spans="1:6" ht="50.4">
      <c r="A37" s="25" t="s">
        <v>28</v>
      </c>
      <c r="B37" s="25"/>
      <c r="C37" s="25"/>
      <c r="D37" s="9" t="s">
        <v>368</v>
      </c>
      <c r="E37" s="126">
        <f aca="true" t="shared" si="3" ref="E37:F39">E38</f>
        <v>9660.000000000002</v>
      </c>
      <c r="F37" s="126">
        <f t="shared" si="3"/>
        <v>9658.4</v>
      </c>
    </row>
    <row r="38" spans="1:6" ht="50.4">
      <c r="A38" s="25" t="s">
        <v>28</v>
      </c>
      <c r="B38" s="8" t="s">
        <v>359</v>
      </c>
      <c r="C38" s="55"/>
      <c r="D38" s="9" t="s">
        <v>358</v>
      </c>
      <c r="E38" s="126">
        <f t="shared" si="3"/>
        <v>9660.000000000002</v>
      </c>
      <c r="F38" s="126">
        <f t="shared" si="3"/>
        <v>9658.4</v>
      </c>
    </row>
    <row r="39" spans="1:6" ht="12.75">
      <c r="A39" s="25" t="s">
        <v>28</v>
      </c>
      <c r="B39" s="127" t="s">
        <v>360</v>
      </c>
      <c r="C39" s="196"/>
      <c r="D39" s="23" t="s">
        <v>343</v>
      </c>
      <c r="E39" s="126">
        <f t="shared" si="3"/>
        <v>9660.000000000002</v>
      </c>
      <c r="F39" s="126">
        <f t="shared" si="3"/>
        <v>9658.4</v>
      </c>
    </row>
    <row r="40" spans="1:6" ht="67.2">
      <c r="A40" s="25" t="s">
        <v>28</v>
      </c>
      <c r="B40" s="8" t="s">
        <v>314</v>
      </c>
      <c r="C40" s="8"/>
      <c r="D40" s="23" t="s">
        <v>63</v>
      </c>
      <c r="E40" s="126">
        <f>E41+E42+E43</f>
        <v>9660.000000000002</v>
      </c>
      <c r="F40" s="126">
        <f>F41+F42+F43</f>
        <v>9658.4</v>
      </c>
    </row>
    <row r="41" spans="1:6" ht="84">
      <c r="A41" s="25" t="s">
        <v>28</v>
      </c>
      <c r="B41" s="8" t="s">
        <v>314</v>
      </c>
      <c r="C41" s="55" t="s">
        <v>55</v>
      </c>
      <c r="D41" s="9" t="s">
        <v>346</v>
      </c>
      <c r="E41" s="126">
        <f>'№8 ведом.'!F232</f>
        <v>8103.900000000001</v>
      </c>
      <c r="F41" s="126">
        <f>'№8 ведом.'!G232</f>
        <v>8103.9</v>
      </c>
    </row>
    <row r="42" spans="1:6" ht="33.6">
      <c r="A42" s="25" t="s">
        <v>28</v>
      </c>
      <c r="B42" s="8" t="s">
        <v>314</v>
      </c>
      <c r="C42" s="55" t="s">
        <v>56</v>
      </c>
      <c r="D42" s="9" t="s">
        <v>57</v>
      </c>
      <c r="E42" s="126">
        <f>'№8 ведом.'!F233</f>
        <v>1352.9</v>
      </c>
      <c r="F42" s="126">
        <f>'№8 ведом.'!G233</f>
        <v>1351.3</v>
      </c>
    </row>
    <row r="43" spans="1:6" ht="12.75">
      <c r="A43" s="25" t="s">
        <v>28</v>
      </c>
      <c r="B43" s="8" t="s">
        <v>314</v>
      </c>
      <c r="C43" s="55" t="s">
        <v>58</v>
      </c>
      <c r="D43" s="9" t="s">
        <v>59</v>
      </c>
      <c r="E43" s="126">
        <f>'№8 ведом.'!F234</f>
        <v>203.2</v>
      </c>
      <c r="F43" s="126">
        <f>'№8 ведом.'!G234</f>
        <v>203.2</v>
      </c>
    </row>
    <row r="44" spans="1:6" ht="12.75">
      <c r="A44" s="25" t="s">
        <v>43</v>
      </c>
      <c r="B44" s="26"/>
      <c r="C44" s="26"/>
      <c r="D44" s="9" t="s">
        <v>3</v>
      </c>
      <c r="E44" s="126">
        <f>E45+E69+E83</f>
        <v>21727.899999999998</v>
      </c>
      <c r="F44" s="126">
        <f>F45+F69+F83</f>
        <v>15472.3</v>
      </c>
    </row>
    <row r="45" spans="1:6" ht="50.4">
      <c r="A45" s="25" t="s">
        <v>43</v>
      </c>
      <c r="B45" s="127" t="s">
        <v>342</v>
      </c>
      <c r="C45" s="67"/>
      <c r="D45" s="23" t="s">
        <v>322</v>
      </c>
      <c r="E45" s="126">
        <f>E46+E51+E56+E59+E63</f>
        <v>863.6000000000001</v>
      </c>
      <c r="F45" s="126">
        <f>F46+F51+F56+F59+F63</f>
        <v>771</v>
      </c>
    </row>
    <row r="46" spans="1:6" ht="60.6" customHeight="1">
      <c r="A46" s="25" t="s">
        <v>43</v>
      </c>
      <c r="B46" s="127" t="s">
        <v>357</v>
      </c>
      <c r="C46" s="67"/>
      <c r="D46" s="9" t="s">
        <v>356</v>
      </c>
      <c r="E46" s="126">
        <f>E47+E49</f>
        <v>379.30000000000007</v>
      </c>
      <c r="F46" s="126">
        <f>F47+F49</f>
        <v>309.79999999999995</v>
      </c>
    </row>
    <row r="47" spans="1:6" ht="33.6">
      <c r="A47" s="25" t="s">
        <v>43</v>
      </c>
      <c r="B47" s="127" t="s">
        <v>220</v>
      </c>
      <c r="C47" s="67"/>
      <c r="D47" s="9" t="s">
        <v>221</v>
      </c>
      <c r="E47" s="126">
        <f>E48</f>
        <v>85.40000000000003</v>
      </c>
      <c r="F47" s="126">
        <f>F48</f>
        <v>15.9</v>
      </c>
    </row>
    <row r="48" spans="1:6" ht="33.6">
      <c r="A48" s="25" t="s">
        <v>43</v>
      </c>
      <c r="B48" s="127" t="s">
        <v>220</v>
      </c>
      <c r="C48" s="67" t="s">
        <v>56</v>
      </c>
      <c r="D48" s="9" t="s">
        <v>57</v>
      </c>
      <c r="E48" s="126">
        <f>'№8 ведом.'!F33</f>
        <v>85.40000000000003</v>
      </c>
      <c r="F48" s="126">
        <f>'№8 ведом.'!G33</f>
        <v>15.9</v>
      </c>
    </row>
    <row r="49" spans="1:6" s="62" customFormat="1" ht="50.4">
      <c r="A49" s="25" t="s">
        <v>43</v>
      </c>
      <c r="B49" s="11" t="s">
        <v>398</v>
      </c>
      <c r="C49" s="67"/>
      <c r="D49" s="9" t="s">
        <v>397</v>
      </c>
      <c r="E49" s="61">
        <f>E50</f>
        <v>293.90000000000003</v>
      </c>
      <c r="F49" s="61">
        <f>F50</f>
        <v>293.9</v>
      </c>
    </row>
    <row r="50" spans="1:6" s="62" customFormat="1" ht="33.6">
      <c r="A50" s="25" t="s">
        <v>43</v>
      </c>
      <c r="B50" s="11" t="s">
        <v>398</v>
      </c>
      <c r="C50" s="67" t="s">
        <v>56</v>
      </c>
      <c r="D50" s="9" t="s">
        <v>57</v>
      </c>
      <c r="E50" s="61">
        <f>'№8 ведом.'!F35</f>
        <v>293.90000000000003</v>
      </c>
      <c r="F50" s="61">
        <f>'№8 ведом.'!G35</f>
        <v>293.9</v>
      </c>
    </row>
    <row r="51" spans="1:6" ht="100.8">
      <c r="A51" s="25" t="s">
        <v>43</v>
      </c>
      <c r="B51" s="127" t="s">
        <v>222</v>
      </c>
      <c r="C51" s="67"/>
      <c r="D51" s="9" t="s">
        <v>223</v>
      </c>
      <c r="E51" s="126">
        <f>E52+E54</f>
        <v>75</v>
      </c>
      <c r="F51" s="126">
        <f>F52+F54</f>
        <v>75</v>
      </c>
    </row>
    <row r="52" spans="1:6" ht="50.4">
      <c r="A52" s="25" t="s">
        <v>43</v>
      </c>
      <c r="B52" s="127" t="s">
        <v>225</v>
      </c>
      <c r="C52" s="67"/>
      <c r="D52" s="9" t="s">
        <v>224</v>
      </c>
      <c r="E52" s="126">
        <f>E53</f>
        <v>50</v>
      </c>
      <c r="F52" s="126">
        <f>F53</f>
        <v>50</v>
      </c>
    </row>
    <row r="53" spans="1:6" ht="12.75">
      <c r="A53" s="25" t="s">
        <v>43</v>
      </c>
      <c r="B53" s="127" t="s">
        <v>225</v>
      </c>
      <c r="C53" s="67" t="s">
        <v>58</v>
      </c>
      <c r="D53" s="70" t="s">
        <v>59</v>
      </c>
      <c r="E53" s="126">
        <f>'№8 ведом.'!F38</f>
        <v>50</v>
      </c>
      <c r="F53" s="126">
        <f>'№8 ведом.'!G38</f>
        <v>50</v>
      </c>
    </row>
    <row r="54" spans="1:6" ht="50.4">
      <c r="A54" s="25" t="s">
        <v>43</v>
      </c>
      <c r="B54" s="127" t="s">
        <v>227</v>
      </c>
      <c r="C54" s="67"/>
      <c r="D54" s="9" t="s">
        <v>226</v>
      </c>
      <c r="E54" s="126">
        <f>E55</f>
        <v>25</v>
      </c>
      <c r="F54" s="126">
        <f>F55</f>
        <v>25</v>
      </c>
    </row>
    <row r="55" spans="1:6" ht="33.6">
      <c r="A55" s="25" t="s">
        <v>43</v>
      </c>
      <c r="B55" s="127" t="s">
        <v>227</v>
      </c>
      <c r="C55" s="67" t="s">
        <v>56</v>
      </c>
      <c r="D55" s="9" t="s">
        <v>57</v>
      </c>
      <c r="E55" s="126">
        <f>'№8 ведом.'!F40</f>
        <v>25</v>
      </c>
      <c r="F55" s="126">
        <f>'№8 ведом.'!G40</f>
        <v>25</v>
      </c>
    </row>
    <row r="56" spans="1:6" ht="33.6">
      <c r="A56" s="25" t="s">
        <v>43</v>
      </c>
      <c r="B56" s="127" t="s">
        <v>228</v>
      </c>
      <c r="C56" s="67"/>
      <c r="D56" s="9" t="s">
        <v>229</v>
      </c>
      <c r="E56" s="126">
        <f aca="true" t="shared" si="4" ref="E56:F57">E57</f>
        <v>47.30000000000001</v>
      </c>
      <c r="F56" s="126">
        <f t="shared" si="4"/>
        <v>47.3</v>
      </c>
    </row>
    <row r="57" spans="1:6" ht="33.6">
      <c r="A57" s="25" t="s">
        <v>43</v>
      </c>
      <c r="B57" s="127" t="s">
        <v>230</v>
      </c>
      <c r="C57" s="67"/>
      <c r="D57" s="9" t="s">
        <v>231</v>
      </c>
      <c r="E57" s="126">
        <f t="shared" si="4"/>
        <v>47.30000000000001</v>
      </c>
      <c r="F57" s="126">
        <f t="shared" si="4"/>
        <v>47.3</v>
      </c>
    </row>
    <row r="58" spans="1:6" ht="12.75">
      <c r="A58" s="25" t="s">
        <v>43</v>
      </c>
      <c r="B58" s="127" t="s">
        <v>230</v>
      </c>
      <c r="C58" s="197" t="s">
        <v>61</v>
      </c>
      <c r="D58" s="9" t="s">
        <v>62</v>
      </c>
      <c r="E58" s="126">
        <f>'№8 ведом.'!F43</f>
        <v>47.30000000000001</v>
      </c>
      <c r="F58" s="126">
        <f>'№8 ведом.'!G43</f>
        <v>47.3</v>
      </c>
    </row>
    <row r="59" spans="1:6" ht="67.2">
      <c r="A59" s="25" t="s">
        <v>43</v>
      </c>
      <c r="B59" s="127" t="s">
        <v>214</v>
      </c>
      <c r="C59" s="67"/>
      <c r="D59" s="9" t="s">
        <v>215</v>
      </c>
      <c r="E59" s="126">
        <f>E60</f>
        <v>51.5</v>
      </c>
      <c r="F59" s="126">
        <f>F60</f>
        <v>51.5</v>
      </c>
    </row>
    <row r="60" spans="1:6" ht="33.6">
      <c r="A60" s="25" t="s">
        <v>43</v>
      </c>
      <c r="B60" s="127" t="s">
        <v>219</v>
      </c>
      <c r="C60" s="67"/>
      <c r="D60" s="9" t="s">
        <v>218</v>
      </c>
      <c r="E60" s="126">
        <f>E62+E61</f>
        <v>51.5</v>
      </c>
      <c r="F60" s="126">
        <f>F62+F61</f>
        <v>51.5</v>
      </c>
    </row>
    <row r="61" spans="1:6" ht="33.6">
      <c r="A61" s="25" t="s">
        <v>43</v>
      </c>
      <c r="B61" s="127" t="s">
        <v>219</v>
      </c>
      <c r="C61" s="67" t="s">
        <v>56</v>
      </c>
      <c r="D61" s="9" t="s">
        <v>57</v>
      </c>
      <c r="E61" s="126">
        <f>'№8 ведом.'!F46</f>
        <v>38.5</v>
      </c>
      <c r="F61" s="126">
        <f>'№8 ведом.'!G46</f>
        <v>38.5</v>
      </c>
    </row>
    <row r="62" spans="1:6" ht="12.75">
      <c r="A62" s="25" t="s">
        <v>43</v>
      </c>
      <c r="B62" s="127" t="s">
        <v>219</v>
      </c>
      <c r="C62" s="197" t="s">
        <v>61</v>
      </c>
      <c r="D62" s="9" t="s">
        <v>62</v>
      </c>
      <c r="E62" s="126">
        <f>'№8 ведом.'!F47</f>
        <v>13.000000000000002</v>
      </c>
      <c r="F62" s="126">
        <f>'№8 ведом.'!G47</f>
        <v>13</v>
      </c>
    </row>
    <row r="63" spans="1:6" ht="12.75">
      <c r="A63" s="25" t="s">
        <v>43</v>
      </c>
      <c r="B63" s="127" t="s">
        <v>344</v>
      </c>
      <c r="C63" s="67"/>
      <c r="D63" s="9" t="s">
        <v>343</v>
      </c>
      <c r="E63" s="126">
        <f>E64+E66</f>
        <v>310.5</v>
      </c>
      <c r="F63" s="126">
        <f>F64+F66</f>
        <v>287.40000000000003</v>
      </c>
    </row>
    <row r="64" spans="1:6" ht="61.8" customHeight="1">
      <c r="A64" s="25" t="s">
        <v>43</v>
      </c>
      <c r="B64" s="127" t="s">
        <v>347</v>
      </c>
      <c r="C64" s="67"/>
      <c r="D64" s="9" t="s">
        <v>64</v>
      </c>
      <c r="E64" s="126">
        <f>E65</f>
        <v>57.2</v>
      </c>
      <c r="F64" s="126">
        <f>F65</f>
        <v>57.2</v>
      </c>
    </row>
    <row r="65" spans="1:6" ht="74.4" customHeight="1">
      <c r="A65" s="25" t="s">
        <v>43</v>
      </c>
      <c r="B65" s="127" t="s">
        <v>347</v>
      </c>
      <c r="C65" s="67" t="s">
        <v>55</v>
      </c>
      <c r="D65" s="9" t="s">
        <v>346</v>
      </c>
      <c r="E65" s="126">
        <f>'№8 ведом.'!F50</f>
        <v>57.2</v>
      </c>
      <c r="F65" s="126">
        <f>'№8 ведом.'!G50</f>
        <v>57.2</v>
      </c>
    </row>
    <row r="66" spans="1:6" ht="84">
      <c r="A66" s="25" t="s">
        <v>43</v>
      </c>
      <c r="B66" s="127" t="s">
        <v>305</v>
      </c>
      <c r="C66" s="67"/>
      <c r="D66" s="9" t="s">
        <v>306</v>
      </c>
      <c r="E66" s="126">
        <f>E67+E68</f>
        <v>253.3</v>
      </c>
      <c r="F66" s="126">
        <f>F67+F68</f>
        <v>230.20000000000002</v>
      </c>
    </row>
    <row r="67" spans="1:6" ht="78" customHeight="1">
      <c r="A67" s="25" t="s">
        <v>43</v>
      </c>
      <c r="B67" s="127" t="s">
        <v>305</v>
      </c>
      <c r="C67" s="67" t="s">
        <v>55</v>
      </c>
      <c r="D67" s="9" t="s">
        <v>346</v>
      </c>
      <c r="E67" s="126">
        <f>'№8 ведом.'!F52</f>
        <v>242.9</v>
      </c>
      <c r="F67" s="126">
        <f>'№8 ведом.'!G52</f>
        <v>222.9</v>
      </c>
    </row>
    <row r="68" spans="1:6" ht="33.6">
      <c r="A68" s="25" t="s">
        <v>43</v>
      </c>
      <c r="B68" s="127" t="s">
        <v>305</v>
      </c>
      <c r="C68" s="67" t="s">
        <v>56</v>
      </c>
      <c r="D68" s="9" t="s">
        <v>57</v>
      </c>
      <c r="E68" s="126">
        <f>'№8 ведом.'!F53</f>
        <v>10.4</v>
      </c>
      <c r="F68" s="126">
        <f>'№8 ведом.'!G53</f>
        <v>7.3</v>
      </c>
    </row>
    <row r="69" spans="1:6" ht="67.2">
      <c r="A69" s="25" t="s">
        <v>43</v>
      </c>
      <c r="B69" s="25" t="s">
        <v>159</v>
      </c>
      <c r="C69" s="25"/>
      <c r="D69" s="23" t="s">
        <v>160</v>
      </c>
      <c r="E69" s="126">
        <f>E70+E79</f>
        <v>19065.1</v>
      </c>
      <c r="F69" s="126">
        <f>F70</f>
        <v>12902.099999999999</v>
      </c>
    </row>
    <row r="70" spans="1:6" ht="50.4">
      <c r="A70" s="25" t="s">
        <v>43</v>
      </c>
      <c r="B70" s="25" t="s">
        <v>161</v>
      </c>
      <c r="C70" s="25"/>
      <c r="D70" s="23" t="s">
        <v>162</v>
      </c>
      <c r="E70" s="126">
        <f>E71+E73+E75+E77</f>
        <v>13702.3</v>
      </c>
      <c r="F70" s="126">
        <f>F71+F73+F75+F79+F77</f>
        <v>12902.099999999999</v>
      </c>
    </row>
    <row r="71" spans="1:6" ht="33.6">
      <c r="A71" s="25" t="s">
        <v>43</v>
      </c>
      <c r="B71" s="25" t="s">
        <v>163</v>
      </c>
      <c r="C71" s="25"/>
      <c r="D71" s="23" t="s">
        <v>164</v>
      </c>
      <c r="E71" s="126">
        <f>E72</f>
        <v>957.2000000000003</v>
      </c>
      <c r="F71" s="126">
        <f>F72</f>
        <v>906.4</v>
      </c>
    </row>
    <row r="72" spans="1:6" ht="33.6">
      <c r="A72" s="25" t="s">
        <v>43</v>
      </c>
      <c r="B72" s="25" t="s">
        <v>163</v>
      </c>
      <c r="C72" s="67" t="s">
        <v>56</v>
      </c>
      <c r="D72" s="9" t="s">
        <v>57</v>
      </c>
      <c r="E72" s="126">
        <f>'№8 ведом.'!F261</f>
        <v>957.2000000000003</v>
      </c>
      <c r="F72" s="126">
        <f>'№8 ведом.'!G261</f>
        <v>906.4</v>
      </c>
    </row>
    <row r="73" spans="1:6" ht="33.6">
      <c r="A73" s="25" t="s">
        <v>43</v>
      </c>
      <c r="B73" s="25" t="s">
        <v>165</v>
      </c>
      <c r="C73" s="25"/>
      <c r="D73" s="23" t="s">
        <v>166</v>
      </c>
      <c r="E73" s="126">
        <f>E74</f>
        <v>313</v>
      </c>
      <c r="F73" s="126">
        <f>F74</f>
        <v>295.7</v>
      </c>
    </row>
    <row r="74" spans="1:6" ht="33.6">
      <c r="A74" s="25" t="s">
        <v>43</v>
      </c>
      <c r="B74" s="25" t="s">
        <v>165</v>
      </c>
      <c r="C74" s="67" t="s">
        <v>56</v>
      </c>
      <c r="D74" s="9" t="s">
        <v>57</v>
      </c>
      <c r="E74" s="126">
        <f>'№8 ведом.'!F263</f>
        <v>313</v>
      </c>
      <c r="F74" s="126">
        <f>'№8 ведом.'!G263</f>
        <v>295.7</v>
      </c>
    </row>
    <row r="75" spans="1:6" ht="12.75">
      <c r="A75" s="25" t="s">
        <v>43</v>
      </c>
      <c r="B75" s="8" t="s">
        <v>168</v>
      </c>
      <c r="C75" s="8"/>
      <c r="D75" s="56" t="s">
        <v>167</v>
      </c>
      <c r="E75" s="126">
        <f>E76</f>
        <v>6380.699999999999</v>
      </c>
      <c r="F75" s="126">
        <f>F76</f>
        <v>6344.8</v>
      </c>
    </row>
    <row r="76" spans="1:6" ht="12.75">
      <c r="A76" s="25" t="s">
        <v>43</v>
      </c>
      <c r="B76" s="8" t="s">
        <v>168</v>
      </c>
      <c r="C76" s="8" t="s">
        <v>58</v>
      </c>
      <c r="D76" s="24" t="s">
        <v>59</v>
      </c>
      <c r="E76" s="126">
        <f>'№8 ведом.'!F265</f>
        <v>6380.699999999999</v>
      </c>
      <c r="F76" s="126">
        <f>'№8 ведом.'!G265</f>
        <v>6344.8</v>
      </c>
    </row>
    <row r="77" spans="1:6" ht="84">
      <c r="A77" s="25" t="s">
        <v>43</v>
      </c>
      <c r="B77" s="8" t="s">
        <v>440</v>
      </c>
      <c r="C77" s="67"/>
      <c r="D77" s="9" t="s">
        <v>441</v>
      </c>
      <c r="E77" s="126">
        <f>E78</f>
        <v>6051.4</v>
      </c>
      <c r="F77" s="126">
        <f>F78</f>
        <v>0</v>
      </c>
    </row>
    <row r="78" spans="1:6" ht="33.6">
      <c r="A78" s="25" t="s">
        <v>43</v>
      </c>
      <c r="B78" s="8" t="s">
        <v>440</v>
      </c>
      <c r="C78" s="67" t="s">
        <v>56</v>
      </c>
      <c r="D78" s="9" t="s">
        <v>57</v>
      </c>
      <c r="E78" s="126">
        <f>'№8 ведом.'!F267</f>
        <v>6051.4</v>
      </c>
      <c r="F78" s="126">
        <f>'№8 ведом.'!G267</f>
        <v>0</v>
      </c>
    </row>
    <row r="79" spans="1:6" ht="12.75">
      <c r="A79" s="25" t="s">
        <v>43</v>
      </c>
      <c r="B79" s="8" t="s">
        <v>169</v>
      </c>
      <c r="C79" s="8"/>
      <c r="D79" s="24" t="s">
        <v>343</v>
      </c>
      <c r="E79" s="126">
        <f>E80</f>
        <v>5362.8</v>
      </c>
      <c r="F79" s="126">
        <f>F80</f>
        <v>5355.2</v>
      </c>
    </row>
    <row r="80" spans="1:6" ht="67.2">
      <c r="A80" s="25" t="s">
        <v>43</v>
      </c>
      <c r="B80" s="8" t="s">
        <v>170</v>
      </c>
      <c r="C80" s="8"/>
      <c r="D80" s="24" t="s">
        <v>63</v>
      </c>
      <c r="E80" s="126">
        <f>E81+E82</f>
        <v>5362.8</v>
      </c>
      <c r="F80" s="126">
        <f>F81+F82</f>
        <v>5355.2</v>
      </c>
    </row>
    <row r="81" spans="1:6" ht="76.2" customHeight="1">
      <c r="A81" s="25" t="s">
        <v>43</v>
      </c>
      <c r="B81" s="8" t="s">
        <v>170</v>
      </c>
      <c r="C81" s="67" t="s">
        <v>55</v>
      </c>
      <c r="D81" s="9" t="s">
        <v>346</v>
      </c>
      <c r="E81" s="126">
        <f>'№8 ведом.'!F270</f>
        <v>5059.7</v>
      </c>
      <c r="F81" s="126">
        <f>'№8 ведом.'!G270</f>
        <v>5059.7</v>
      </c>
    </row>
    <row r="82" spans="1:6" ht="33.6">
      <c r="A82" s="25" t="s">
        <v>43</v>
      </c>
      <c r="B82" s="8" t="s">
        <v>170</v>
      </c>
      <c r="C82" s="67" t="s">
        <v>56</v>
      </c>
      <c r="D82" s="9" t="s">
        <v>57</v>
      </c>
      <c r="E82" s="126">
        <f>'№8 ведом.'!F271</f>
        <v>303.1</v>
      </c>
      <c r="F82" s="126">
        <f>'№8 ведом.'!G271</f>
        <v>295.5</v>
      </c>
    </row>
    <row r="83" spans="1:6" ht="50.4">
      <c r="A83" s="25" t="s">
        <v>43</v>
      </c>
      <c r="B83" s="8" t="s">
        <v>359</v>
      </c>
      <c r="C83" s="67"/>
      <c r="D83" s="9" t="s">
        <v>358</v>
      </c>
      <c r="E83" s="126">
        <f>E84+E89+E92</f>
        <v>1799.2</v>
      </c>
      <c r="F83" s="126">
        <f>F84+F89+F92</f>
        <v>1799.2</v>
      </c>
    </row>
    <row r="84" spans="1:6" ht="33.6">
      <c r="A84" s="25" t="s">
        <v>43</v>
      </c>
      <c r="B84" s="8" t="s">
        <v>296</v>
      </c>
      <c r="C84" s="67"/>
      <c r="D84" s="9" t="s">
        <v>293</v>
      </c>
      <c r="E84" s="126">
        <f>E85+E87</f>
        <v>1712.7</v>
      </c>
      <c r="F84" s="126">
        <f>F85+F87</f>
        <v>1712.7</v>
      </c>
    </row>
    <row r="85" spans="1:6" ht="67.2">
      <c r="A85" s="25" t="s">
        <v>43</v>
      </c>
      <c r="B85" s="8" t="s">
        <v>303</v>
      </c>
      <c r="C85" s="8"/>
      <c r="D85" s="24" t="s">
        <v>304</v>
      </c>
      <c r="E85" s="126">
        <f>E86</f>
        <v>1441.7</v>
      </c>
      <c r="F85" s="126">
        <f>F86</f>
        <v>1441.7</v>
      </c>
    </row>
    <row r="86" spans="1:6" ht="33.6">
      <c r="A86" s="25" t="s">
        <v>43</v>
      </c>
      <c r="B86" s="8" t="s">
        <v>303</v>
      </c>
      <c r="C86" s="67" t="s">
        <v>56</v>
      </c>
      <c r="D86" s="9" t="s">
        <v>57</v>
      </c>
      <c r="E86" s="126">
        <f>'№8 ведом.'!F239</f>
        <v>1441.7</v>
      </c>
      <c r="F86" s="126">
        <f>'№8 ведом.'!G239</f>
        <v>1441.7</v>
      </c>
    </row>
    <row r="87" spans="1:6" ht="67.2">
      <c r="A87" s="25" t="s">
        <v>43</v>
      </c>
      <c r="B87" s="8" t="s">
        <v>420</v>
      </c>
      <c r="C87" s="67"/>
      <c r="D87" s="24" t="s">
        <v>402</v>
      </c>
      <c r="E87" s="126">
        <f>E88</f>
        <v>271</v>
      </c>
      <c r="F87" s="126">
        <f>F88</f>
        <v>271</v>
      </c>
    </row>
    <row r="88" spans="1:6" ht="33.6">
      <c r="A88" s="25" t="s">
        <v>43</v>
      </c>
      <c r="B88" s="8" t="s">
        <v>420</v>
      </c>
      <c r="C88" s="67" t="s">
        <v>56</v>
      </c>
      <c r="D88" s="9" t="s">
        <v>57</v>
      </c>
      <c r="E88" s="126">
        <f>'№8 ведом.'!F241</f>
        <v>271</v>
      </c>
      <c r="F88" s="126">
        <f>'№8 ведом.'!G241</f>
        <v>271</v>
      </c>
    </row>
    <row r="89" spans="1:6" ht="12.75">
      <c r="A89" s="25" t="s">
        <v>43</v>
      </c>
      <c r="B89" s="8" t="s">
        <v>307</v>
      </c>
      <c r="C89" s="8"/>
      <c r="D89" s="24" t="s">
        <v>114</v>
      </c>
      <c r="E89" s="126">
        <f aca="true" t="shared" si="5" ref="E89:F90">E90</f>
        <v>4.100000000000001</v>
      </c>
      <c r="F89" s="126">
        <f t="shared" si="5"/>
        <v>4.1</v>
      </c>
    </row>
    <row r="90" spans="1:6" ht="50.4">
      <c r="A90" s="25" t="s">
        <v>43</v>
      </c>
      <c r="B90" s="8" t="s">
        <v>308</v>
      </c>
      <c r="C90" s="8"/>
      <c r="D90" s="24" t="s">
        <v>115</v>
      </c>
      <c r="E90" s="126">
        <f t="shared" si="5"/>
        <v>4.100000000000001</v>
      </c>
      <c r="F90" s="126">
        <f t="shared" si="5"/>
        <v>4.1</v>
      </c>
    </row>
    <row r="91" spans="1:6" ht="33.6">
      <c r="A91" s="25" t="s">
        <v>43</v>
      </c>
      <c r="B91" s="8" t="s">
        <v>308</v>
      </c>
      <c r="C91" s="67" t="s">
        <v>56</v>
      </c>
      <c r="D91" s="9" t="s">
        <v>57</v>
      </c>
      <c r="E91" s="126">
        <f>'№8 ведом.'!F244</f>
        <v>4.100000000000001</v>
      </c>
      <c r="F91" s="126">
        <f>'№8 ведом.'!G244</f>
        <v>4.1</v>
      </c>
    </row>
    <row r="92" spans="1:6" ht="12.75">
      <c r="A92" s="25" t="s">
        <v>43</v>
      </c>
      <c r="B92" s="3">
        <v>9900000</v>
      </c>
      <c r="C92" s="82"/>
      <c r="D92" s="24" t="s">
        <v>352</v>
      </c>
      <c r="E92" s="126">
        <f aca="true" t="shared" si="6" ref="E92:F94">E93</f>
        <v>82.4</v>
      </c>
      <c r="F92" s="126">
        <f t="shared" si="6"/>
        <v>82.4</v>
      </c>
    </row>
    <row r="93" spans="1:6" ht="12.75">
      <c r="A93" s="25" t="s">
        <v>43</v>
      </c>
      <c r="B93" s="3">
        <v>9930000</v>
      </c>
      <c r="C93" s="8"/>
      <c r="D93" s="24" t="s">
        <v>408</v>
      </c>
      <c r="E93" s="126">
        <f t="shared" si="6"/>
        <v>82.4</v>
      </c>
      <c r="F93" s="126">
        <f t="shared" si="6"/>
        <v>82.4</v>
      </c>
    </row>
    <row r="94" spans="1:6" ht="12.75">
      <c r="A94" s="25" t="s">
        <v>43</v>
      </c>
      <c r="B94" s="3">
        <v>9931000</v>
      </c>
      <c r="C94" s="8"/>
      <c r="D94" s="24" t="s">
        <v>167</v>
      </c>
      <c r="E94" s="126">
        <f t="shared" si="6"/>
        <v>82.4</v>
      </c>
      <c r="F94" s="126">
        <f t="shared" si="6"/>
        <v>82.4</v>
      </c>
    </row>
    <row r="95" spans="1:6" ht="12.75">
      <c r="A95" s="25" t="s">
        <v>43</v>
      </c>
      <c r="B95" s="3">
        <v>9931000</v>
      </c>
      <c r="C95" s="8" t="s">
        <v>58</v>
      </c>
      <c r="D95" s="24" t="s">
        <v>59</v>
      </c>
      <c r="E95" s="126">
        <f>'№8 ведом.'!F248+'№8 ведом.'!F57</f>
        <v>82.4</v>
      </c>
      <c r="F95" s="126">
        <f>'№8 ведом.'!G248+'№8 ведом.'!G57</f>
        <v>82.4</v>
      </c>
    </row>
    <row r="96" spans="1:6" s="36" customFormat="1" ht="33.6">
      <c r="A96" s="26" t="s">
        <v>38</v>
      </c>
      <c r="B96" s="26"/>
      <c r="C96" s="26"/>
      <c r="D96" s="27" t="s">
        <v>4</v>
      </c>
      <c r="E96" s="52">
        <f>E97+E106</f>
        <v>8770.900000000001</v>
      </c>
      <c r="F96" s="52">
        <f>F97+F106</f>
        <v>8696.1</v>
      </c>
    </row>
    <row r="97" spans="1:6" ht="12.75">
      <c r="A97" s="25" t="s">
        <v>65</v>
      </c>
      <c r="B97" s="127"/>
      <c r="C97" s="67"/>
      <c r="D97" s="9" t="s">
        <v>66</v>
      </c>
      <c r="E97" s="126">
        <f aca="true" t="shared" si="7" ref="E97:F98">E98</f>
        <v>2123.8</v>
      </c>
      <c r="F97" s="126">
        <f t="shared" si="7"/>
        <v>2049</v>
      </c>
    </row>
    <row r="98" spans="1:6" ht="50.4">
      <c r="A98" s="25" t="s">
        <v>65</v>
      </c>
      <c r="B98" s="127" t="s">
        <v>342</v>
      </c>
      <c r="C98" s="67"/>
      <c r="D98" s="23" t="s">
        <v>322</v>
      </c>
      <c r="E98" s="126">
        <f t="shared" si="7"/>
        <v>2123.8</v>
      </c>
      <c r="F98" s="126">
        <f t="shared" si="7"/>
        <v>2049</v>
      </c>
    </row>
    <row r="99" spans="1:6" ht="12.75">
      <c r="A99" s="25" t="s">
        <v>65</v>
      </c>
      <c r="B99" s="127" t="s">
        <v>344</v>
      </c>
      <c r="C99" s="67"/>
      <c r="D99" s="9" t="s">
        <v>343</v>
      </c>
      <c r="E99" s="126">
        <f>E100+E102</f>
        <v>2123.8</v>
      </c>
      <c r="F99" s="126">
        <f>F100+F102</f>
        <v>2049</v>
      </c>
    </row>
    <row r="100" spans="1:6" ht="59.4" customHeight="1">
      <c r="A100" s="25" t="s">
        <v>65</v>
      </c>
      <c r="B100" s="127" t="s">
        <v>347</v>
      </c>
      <c r="C100" s="67"/>
      <c r="D100" s="9" t="s">
        <v>64</v>
      </c>
      <c r="E100" s="126">
        <f>E101</f>
        <v>704.6</v>
      </c>
      <c r="F100" s="126">
        <f>F101</f>
        <v>629.8</v>
      </c>
    </row>
    <row r="101" spans="1:6" ht="73.2" customHeight="1">
      <c r="A101" s="25" t="s">
        <v>65</v>
      </c>
      <c r="B101" s="127" t="s">
        <v>347</v>
      </c>
      <c r="C101" s="67" t="s">
        <v>55</v>
      </c>
      <c r="D101" s="9" t="s">
        <v>346</v>
      </c>
      <c r="E101" s="126">
        <f>'№8 ведом.'!F63</f>
        <v>704.6</v>
      </c>
      <c r="F101" s="126">
        <f>'№8 ведом.'!G63</f>
        <v>629.8</v>
      </c>
    </row>
    <row r="102" spans="1:6" ht="134.4">
      <c r="A102" s="25" t="s">
        <v>65</v>
      </c>
      <c r="B102" s="127" t="s">
        <v>387</v>
      </c>
      <c r="C102" s="67"/>
      <c r="D102" s="9" t="s">
        <v>388</v>
      </c>
      <c r="E102" s="126">
        <f>E103+E104+E105</f>
        <v>1419.2</v>
      </c>
      <c r="F102" s="126">
        <f>F103+F104+F105</f>
        <v>1419.1999999999998</v>
      </c>
    </row>
    <row r="103" spans="1:6" ht="84">
      <c r="A103" s="25" t="s">
        <v>65</v>
      </c>
      <c r="B103" s="127" t="s">
        <v>387</v>
      </c>
      <c r="C103" s="67" t="s">
        <v>55</v>
      </c>
      <c r="D103" s="9" t="s">
        <v>346</v>
      </c>
      <c r="E103" s="126">
        <f>'№8 ведом.'!F65</f>
        <v>1204.5000000000002</v>
      </c>
      <c r="F103" s="126">
        <f>'№8 ведом.'!G65</f>
        <v>1204.5</v>
      </c>
    </row>
    <row r="104" spans="1:6" ht="33.6">
      <c r="A104" s="25" t="s">
        <v>65</v>
      </c>
      <c r="B104" s="127" t="s">
        <v>387</v>
      </c>
      <c r="C104" s="67" t="s">
        <v>56</v>
      </c>
      <c r="D104" s="9" t="s">
        <v>57</v>
      </c>
      <c r="E104" s="126">
        <f>'№8 ведом.'!F66</f>
        <v>203.6</v>
      </c>
      <c r="F104" s="126">
        <f>'№8 ведом.'!G66</f>
        <v>203.6</v>
      </c>
    </row>
    <row r="105" spans="1:6" ht="12.75">
      <c r="A105" s="25" t="s">
        <v>65</v>
      </c>
      <c r="B105" s="127" t="s">
        <v>387</v>
      </c>
      <c r="C105" s="67" t="s">
        <v>58</v>
      </c>
      <c r="D105" s="70" t="s">
        <v>59</v>
      </c>
      <c r="E105" s="126">
        <f>'№8 ведом.'!F67</f>
        <v>11.100000000000001</v>
      </c>
      <c r="F105" s="126">
        <f>'№8 ведом.'!G67</f>
        <v>11.1</v>
      </c>
    </row>
    <row r="106" spans="1:6" ht="50.4">
      <c r="A106" s="25" t="s">
        <v>29</v>
      </c>
      <c r="B106" s="127"/>
      <c r="C106" s="67"/>
      <c r="D106" s="9" t="s">
        <v>380</v>
      </c>
      <c r="E106" s="126">
        <f aca="true" t="shared" si="8" ref="E106:F109">E107</f>
        <v>6647.1</v>
      </c>
      <c r="F106" s="126">
        <f t="shared" si="8"/>
        <v>6647.1</v>
      </c>
    </row>
    <row r="107" spans="1:6" ht="50.4">
      <c r="A107" s="25" t="s">
        <v>29</v>
      </c>
      <c r="B107" s="127" t="s">
        <v>342</v>
      </c>
      <c r="C107" s="67"/>
      <c r="D107" s="23" t="s">
        <v>322</v>
      </c>
      <c r="E107" s="126">
        <f t="shared" si="8"/>
        <v>6647.1</v>
      </c>
      <c r="F107" s="126">
        <f t="shared" si="8"/>
        <v>6647.1</v>
      </c>
    </row>
    <row r="108" spans="1:6" ht="33.6">
      <c r="A108" s="25" t="s">
        <v>29</v>
      </c>
      <c r="B108" s="127" t="s">
        <v>232</v>
      </c>
      <c r="C108" s="67"/>
      <c r="D108" s="9" t="s">
        <v>233</v>
      </c>
      <c r="E108" s="126">
        <f t="shared" si="8"/>
        <v>6647.1</v>
      </c>
      <c r="F108" s="126">
        <f t="shared" si="8"/>
        <v>6647.1</v>
      </c>
    </row>
    <row r="109" spans="1:6" ht="33.6">
      <c r="A109" s="25" t="s">
        <v>29</v>
      </c>
      <c r="B109" s="127" t="s">
        <v>235</v>
      </c>
      <c r="C109" s="67"/>
      <c r="D109" s="9" t="s">
        <v>234</v>
      </c>
      <c r="E109" s="126">
        <f t="shared" si="8"/>
        <v>6647.1</v>
      </c>
      <c r="F109" s="126">
        <f t="shared" si="8"/>
        <v>6647.1</v>
      </c>
    </row>
    <row r="110" spans="1:6" ht="33.6">
      <c r="A110" s="25" t="s">
        <v>29</v>
      </c>
      <c r="B110" s="127" t="s">
        <v>235</v>
      </c>
      <c r="C110" s="197">
        <v>600</v>
      </c>
      <c r="D110" s="9" t="s">
        <v>87</v>
      </c>
      <c r="E110" s="126">
        <f>'№8 ведом.'!F72</f>
        <v>6647.1</v>
      </c>
      <c r="F110" s="126">
        <f>'№8 ведом.'!G72</f>
        <v>6647.1</v>
      </c>
    </row>
    <row r="111" spans="1:6" s="36" customFormat="1" ht="12.75">
      <c r="A111" s="26" t="s">
        <v>39</v>
      </c>
      <c r="B111" s="26"/>
      <c r="C111" s="26"/>
      <c r="D111" s="27" t="s">
        <v>5</v>
      </c>
      <c r="E111" s="52">
        <f>E112+E130</f>
        <v>43445.299999999996</v>
      </c>
      <c r="F111" s="52">
        <f>F112+F130</f>
        <v>42376</v>
      </c>
    </row>
    <row r="112" spans="1:6" ht="12.75">
      <c r="A112" s="25" t="s">
        <v>365</v>
      </c>
      <c r="B112" s="127"/>
      <c r="C112" s="197"/>
      <c r="D112" s="19" t="s">
        <v>366</v>
      </c>
      <c r="E112" s="126">
        <f aca="true" t="shared" si="9" ref="E112:F112">E113</f>
        <v>42861.399999999994</v>
      </c>
      <c r="F112" s="126">
        <f t="shared" si="9"/>
        <v>41803.3</v>
      </c>
    </row>
    <row r="113" spans="1:6" ht="50.4">
      <c r="A113" s="25" t="s">
        <v>365</v>
      </c>
      <c r="B113" s="127" t="s">
        <v>236</v>
      </c>
      <c r="C113" s="197"/>
      <c r="D113" s="9" t="s">
        <v>237</v>
      </c>
      <c r="E113" s="126">
        <f>E114+E127</f>
        <v>42861.399999999994</v>
      </c>
      <c r="F113" s="126">
        <f>F114+F127</f>
        <v>41803.3</v>
      </c>
    </row>
    <row r="114" spans="1:6" ht="50.4">
      <c r="A114" s="25" t="s">
        <v>365</v>
      </c>
      <c r="B114" s="127" t="s">
        <v>238</v>
      </c>
      <c r="C114" s="197"/>
      <c r="D114" s="9" t="s">
        <v>239</v>
      </c>
      <c r="E114" s="126">
        <f>E115+E119+E121+E117+E125+E123</f>
        <v>42442.7</v>
      </c>
      <c r="F114" s="126">
        <f>F115+F119+F121+F117+F125+F123</f>
        <v>41384.600000000006</v>
      </c>
    </row>
    <row r="115" spans="1:6" ht="67.2">
      <c r="A115" s="25" t="s">
        <v>365</v>
      </c>
      <c r="B115" s="127" t="s">
        <v>240</v>
      </c>
      <c r="C115" s="197"/>
      <c r="D115" s="9" t="s">
        <v>241</v>
      </c>
      <c r="E115" s="126">
        <f>E116</f>
        <v>16184.199999999999</v>
      </c>
      <c r="F115" s="126">
        <f>F116</f>
        <v>15126.1</v>
      </c>
    </row>
    <row r="116" spans="1:6" ht="33.6">
      <c r="A116" s="25" t="s">
        <v>365</v>
      </c>
      <c r="B116" s="127" t="s">
        <v>240</v>
      </c>
      <c r="C116" s="67" t="s">
        <v>56</v>
      </c>
      <c r="D116" s="9" t="s">
        <v>57</v>
      </c>
      <c r="E116" s="126">
        <f>'№8 ведом.'!F78</f>
        <v>16184.199999999999</v>
      </c>
      <c r="F116" s="126">
        <f>'№8 ведом.'!G78</f>
        <v>15126.1</v>
      </c>
    </row>
    <row r="117" spans="1:6" s="62" customFormat="1" ht="50.4">
      <c r="A117" s="25" t="s">
        <v>365</v>
      </c>
      <c r="B117" s="11" t="s">
        <v>395</v>
      </c>
      <c r="C117" s="67"/>
      <c r="D117" s="9" t="s">
        <v>396</v>
      </c>
      <c r="E117" s="61">
        <f>E118</f>
        <v>203.5</v>
      </c>
      <c r="F117" s="61">
        <f>F118</f>
        <v>203.5</v>
      </c>
    </row>
    <row r="118" spans="1:6" s="62" customFormat="1" ht="33.6">
      <c r="A118" s="25" t="s">
        <v>365</v>
      </c>
      <c r="B118" s="11" t="s">
        <v>395</v>
      </c>
      <c r="C118" s="67" t="s">
        <v>56</v>
      </c>
      <c r="D118" s="9" t="s">
        <v>57</v>
      </c>
      <c r="E118" s="61">
        <f>'№8 ведом.'!F80</f>
        <v>203.5</v>
      </c>
      <c r="F118" s="61">
        <f>'№8 ведом.'!G80</f>
        <v>203.5</v>
      </c>
    </row>
    <row r="119" spans="1:6" ht="50.4">
      <c r="A119" s="25" t="s">
        <v>365</v>
      </c>
      <c r="B119" s="127" t="s">
        <v>75</v>
      </c>
      <c r="C119" s="67"/>
      <c r="D119" s="9" t="s">
        <v>323</v>
      </c>
      <c r="E119" s="126">
        <f>E120</f>
        <v>2370.0999999999995</v>
      </c>
      <c r="F119" s="126">
        <f>F120</f>
        <v>2370.1</v>
      </c>
    </row>
    <row r="120" spans="1:6" ht="33.6">
      <c r="A120" s="25" t="s">
        <v>365</v>
      </c>
      <c r="B120" s="127" t="s">
        <v>75</v>
      </c>
      <c r="C120" s="67" t="s">
        <v>56</v>
      </c>
      <c r="D120" s="9" t="s">
        <v>57</v>
      </c>
      <c r="E120" s="126">
        <f>'№8 ведом.'!F82</f>
        <v>2370.0999999999995</v>
      </c>
      <c r="F120" s="126">
        <f>'№8 ведом.'!G82</f>
        <v>2370.1</v>
      </c>
    </row>
    <row r="121" spans="1:6" ht="33.6">
      <c r="A121" s="25" t="s">
        <v>365</v>
      </c>
      <c r="B121" s="127" t="s">
        <v>328</v>
      </c>
      <c r="C121" s="67"/>
      <c r="D121" s="9" t="s">
        <v>329</v>
      </c>
      <c r="E121" s="126">
        <f>E122</f>
        <v>3205.7</v>
      </c>
      <c r="F121" s="126">
        <f>F122</f>
        <v>3205.7</v>
      </c>
    </row>
    <row r="122" spans="1:6" ht="33.6">
      <c r="A122" s="25" t="s">
        <v>365</v>
      </c>
      <c r="B122" s="127" t="s">
        <v>328</v>
      </c>
      <c r="C122" s="67" t="s">
        <v>56</v>
      </c>
      <c r="D122" s="9" t="s">
        <v>57</v>
      </c>
      <c r="E122" s="126">
        <f>'№8 ведом.'!F84</f>
        <v>3205.7</v>
      </c>
      <c r="F122" s="126">
        <f>'№8 ведом.'!G84</f>
        <v>3205.7</v>
      </c>
    </row>
    <row r="123" spans="1:6" ht="50.4">
      <c r="A123" s="25" t="s">
        <v>365</v>
      </c>
      <c r="B123" s="11" t="s">
        <v>413</v>
      </c>
      <c r="C123" s="67"/>
      <c r="D123" s="9" t="s">
        <v>415</v>
      </c>
      <c r="E123" s="126">
        <f>E124</f>
        <v>11774.2</v>
      </c>
      <c r="F123" s="126">
        <f>F124</f>
        <v>11774.2</v>
      </c>
    </row>
    <row r="124" spans="1:6" ht="33.6">
      <c r="A124" s="25" t="s">
        <v>365</v>
      </c>
      <c r="B124" s="11" t="s">
        <v>413</v>
      </c>
      <c r="C124" s="67" t="s">
        <v>56</v>
      </c>
      <c r="D124" s="9" t="s">
        <v>57</v>
      </c>
      <c r="E124" s="126">
        <f>'№8 ведом.'!F86</f>
        <v>11774.2</v>
      </c>
      <c r="F124" s="126">
        <f>'№8 ведом.'!G86</f>
        <v>11774.2</v>
      </c>
    </row>
    <row r="125" spans="1:6" ht="67.2">
      <c r="A125" s="25" t="s">
        <v>365</v>
      </c>
      <c r="B125" s="11" t="s">
        <v>401</v>
      </c>
      <c r="C125" s="67"/>
      <c r="D125" s="9" t="s">
        <v>405</v>
      </c>
      <c r="E125" s="126">
        <f>E126</f>
        <v>8705</v>
      </c>
      <c r="F125" s="126">
        <f>F126</f>
        <v>8705</v>
      </c>
    </row>
    <row r="126" spans="1:6" ht="33.6">
      <c r="A126" s="25" t="s">
        <v>365</v>
      </c>
      <c r="B126" s="11" t="s">
        <v>401</v>
      </c>
      <c r="C126" s="67" t="s">
        <v>56</v>
      </c>
      <c r="D126" s="9" t="s">
        <v>57</v>
      </c>
      <c r="E126" s="126">
        <f>'№8 ведом.'!F88</f>
        <v>8705</v>
      </c>
      <c r="F126" s="126">
        <f>'№8 ведом.'!G88</f>
        <v>8705</v>
      </c>
    </row>
    <row r="127" spans="1:6" ht="50.4">
      <c r="A127" s="25" t="s">
        <v>365</v>
      </c>
      <c r="B127" s="127" t="s">
        <v>445</v>
      </c>
      <c r="C127" s="67"/>
      <c r="D127" s="9" t="s">
        <v>446</v>
      </c>
      <c r="E127" s="126">
        <f>E128</f>
        <v>418.70000000000005</v>
      </c>
      <c r="F127" s="126">
        <f>F128</f>
        <v>418.7</v>
      </c>
    </row>
    <row r="128" spans="1:6" ht="33.6">
      <c r="A128" s="25" t="s">
        <v>365</v>
      </c>
      <c r="B128" s="11" t="s">
        <v>447</v>
      </c>
      <c r="C128" s="67"/>
      <c r="D128" s="9" t="s">
        <v>419</v>
      </c>
      <c r="E128" s="126">
        <f>E129</f>
        <v>418.70000000000005</v>
      </c>
      <c r="F128" s="126">
        <f>F129</f>
        <v>418.7</v>
      </c>
    </row>
    <row r="129" spans="1:6" ht="33.6">
      <c r="A129" s="25" t="s">
        <v>365</v>
      </c>
      <c r="B129" s="11" t="s">
        <v>447</v>
      </c>
      <c r="C129" s="67" t="s">
        <v>56</v>
      </c>
      <c r="D129" s="9" t="s">
        <v>57</v>
      </c>
      <c r="E129" s="126">
        <f>'№8 ведом.'!F91</f>
        <v>418.70000000000005</v>
      </c>
      <c r="F129" s="126">
        <f>'№8 ведом.'!G91</f>
        <v>418.7</v>
      </c>
    </row>
    <row r="130" spans="1:6" ht="12.75">
      <c r="A130" s="25" t="s">
        <v>30</v>
      </c>
      <c r="B130" s="127"/>
      <c r="C130" s="197"/>
      <c r="D130" s="9" t="s">
        <v>6</v>
      </c>
      <c r="E130" s="126">
        <f>E131+E144</f>
        <v>583.9000000000001</v>
      </c>
      <c r="F130" s="126">
        <f>F131+F144</f>
        <v>572.7</v>
      </c>
    </row>
    <row r="131" spans="1:6" ht="50.4">
      <c r="A131" s="25" t="s">
        <v>30</v>
      </c>
      <c r="B131" s="127" t="s">
        <v>242</v>
      </c>
      <c r="C131" s="197"/>
      <c r="D131" s="9" t="s">
        <v>243</v>
      </c>
      <c r="E131" s="126">
        <f>E132+E139</f>
        <v>297.6</v>
      </c>
      <c r="F131" s="126">
        <f>F132+F139</f>
        <v>296.4</v>
      </c>
    </row>
    <row r="132" spans="1:6" ht="33.6">
      <c r="A132" s="25" t="s">
        <v>30</v>
      </c>
      <c r="B132" s="127" t="s">
        <v>245</v>
      </c>
      <c r="C132" s="197"/>
      <c r="D132" s="9" t="s">
        <v>244</v>
      </c>
      <c r="E132" s="126">
        <f>E133+E135+E137</f>
        <v>190</v>
      </c>
      <c r="F132" s="126">
        <f>F133+F135+F137</f>
        <v>188.8</v>
      </c>
    </row>
    <row r="133" spans="1:6" ht="33.6">
      <c r="A133" s="25" t="s">
        <v>30</v>
      </c>
      <c r="B133" s="8" t="s">
        <v>247</v>
      </c>
      <c r="C133" s="8"/>
      <c r="D133" s="56" t="s">
        <v>246</v>
      </c>
      <c r="E133" s="126">
        <f>E134</f>
        <v>120</v>
      </c>
      <c r="F133" s="126">
        <f>F134</f>
        <v>118.8</v>
      </c>
    </row>
    <row r="134" spans="1:6" ht="33.6">
      <c r="A134" s="25" t="s">
        <v>30</v>
      </c>
      <c r="B134" s="8" t="s">
        <v>247</v>
      </c>
      <c r="C134" s="67" t="s">
        <v>56</v>
      </c>
      <c r="D134" s="9" t="s">
        <v>57</v>
      </c>
      <c r="E134" s="126">
        <f>'№8 ведом.'!F96</f>
        <v>120</v>
      </c>
      <c r="F134" s="126">
        <f>'№8 ведом.'!G96</f>
        <v>118.8</v>
      </c>
    </row>
    <row r="135" spans="1:6" ht="50.4">
      <c r="A135" s="25" t="s">
        <v>30</v>
      </c>
      <c r="B135" s="8" t="s">
        <v>249</v>
      </c>
      <c r="C135" s="8"/>
      <c r="D135" s="56" t="s">
        <v>248</v>
      </c>
      <c r="E135" s="126">
        <f>E136</f>
        <v>30</v>
      </c>
      <c r="F135" s="126">
        <f>F136</f>
        <v>30</v>
      </c>
    </row>
    <row r="136" spans="1:6" ht="33.6">
      <c r="A136" s="25" t="s">
        <v>30</v>
      </c>
      <c r="B136" s="8" t="s">
        <v>249</v>
      </c>
      <c r="C136" s="67" t="s">
        <v>56</v>
      </c>
      <c r="D136" s="9" t="s">
        <v>57</v>
      </c>
      <c r="E136" s="126">
        <f>'№8 ведом.'!F98</f>
        <v>30</v>
      </c>
      <c r="F136" s="126">
        <f>'№8 ведом.'!G98</f>
        <v>30</v>
      </c>
    </row>
    <row r="137" spans="1:6" ht="100.8">
      <c r="A137" s="25" t="s">
        <v>30</v>
      </c>
      <c r="B137" s="8" t="s">
        <v>257</v>
      </c>
      <c r="C137" s="8"/>
      <c r="D137" s="56" t="s">
        <v>256</v>
      </c>
      <c r="E137" s="126">
        <f>E138</f>
        <v>40</v>
      </c>
      <c r="F137" s="126">
        <f>F138</f>
        <v>40</v>
      </c>
    </row>
    <row r="138" spans="1:6" ht="33.6">
      <c r="A138" s="25" t="s">
        <v>30</v>
      </c>
      <c r="B138" s="8" t="s">
        <v>257</v>
      </c>
      <c r="C138" s="197">
        <v>600</v>
      </c>
      <c r="D138" s="9" t="s">
        <v>87</v>
      </c>
      <c r="E138" s="126">
        <f>'№8 ведом.'!F303</f>
        <v>40</v>
      </c>
      <c r="F138" s="126">
        <f>'№8 ведом.'!G303</f>
        <v>40</v>
      </c>
    </row>
    <row r="139" spans="1:6" ht="33.6">
      <c r="A139" s="25" t="s">
        <v>30</v>
      </c>
      <c r="B139" s="8" t="s">
        <v>250</v>
      </c>
      <c r="C139" s="8"/>
      <c r="D139" s="56" t="s">
        <v>251</v>
      </c>
      <c r="E139" s="126">
        <f>E140+E142</f>
        <v>107.60000000000001</v>
      </c>
      <c r="F139" s="126">
        <f>F140+F142</f>
        <v>107.6</v>
      </c>
    </row>
    <row r="140" spans="1:6" ht="33.6">
      <c r="A140" s="25" t="s">
        <v>30</v>
      </c>
      <c r="B140" s="8" t="s">
        <v>252</v>
      </c>
      <c r="C140" s="8"/>
      <c r="D140" s="56" t="s">
        <v>253</v>
      </c>
      <c r="E140" s="126">
        <f>E141</f>
        <v>5</v>
      </c>
      <c r="F140" s="126">
        <f>F141</f>
        <v>5</v>
      </c>
    </row>
    <row r="141" spans="1:6" ht="33.6">
      <c r="A141" s="25" t="s">
        <v>30</v>
      </c>
      <c r="B141" s="8" t="s">
        <v>252</v>
      </c>
      <c r="C141" s="67" t="s">
        <v>56</v>
      </c>
      <c r="D141" s="9" t="s">
        <v>57</v>
      </c>
      <c r="E141" s="126">
        <f>'№8 ведом.'!F101</f>
        <v>5</v>
      </c>
      <c r="F141" s="126">
        <f>'№8 ведом.'!G101</f>
        <v>5</v>
      </c>
    </row>
    <row r="142" spans="1:6" ht="33.6">
      <c r="A142" s="25" t="s">
        <v>30</v>
      </c>
      <c r="B142" s="8" t="s">
        <v>255</v>
      </c>
      <c r="C142" s="8"/>
      <c r="D142" s="56" t="s">
        <v>254</v>
      </c>
      <c r="E142" s="126">
        <f>E143</f>
        <v>102.60000000000001</v>
      </c>
      <c r="F142" s="126">
        <f>F143</f>
        <v>102.6</v>
      </c>
    </row>
    <row r="143" spans="1:6" ht="12.75">
      <c r="A143" s="25" t="s">
        <v>30</v>
      </c>
      <c r="B143" s="8" t="s">
        <v>255</v>
      </c>
      <c r="C143" s="67" t="s">
        <v>58</v>
      </c>
      <c r="D143" s="70" t="s">
        <v>59</v>
      </c>
      <c r="E143" s="126">
        <f>'№8 ведом.'!F103</f>
        <v>102.60000000000001</v>
      </c>
      <c r="F143" s="126">
        <f>'№8 ведом.'!G103</f>
        <v>102.6</v>
      </c>
    </row>
    <row r="144" spans="1:6" ht="67.2">
      <c r="A144" s="25" t="s">
        <v>30</v>
      </c>
      <c r="B144" s="8" t="s">
        <v>159</v>
      </c>
      <c r="C144" s="67"/>
      <c r="D144" s="9" t="s">
        <v>160</v>
      </c>
      <c r="E144" s="126">
        <f aca="true" t="shared" si="10" ref="E144:F146">E145</f>
        <v>286.3</v>
      </c>
      <c r="F144" s="126">
        <f t="shared" si="10"/>
        <v>276.3</v>
      </c>
    </row>
    <row r="145" spans="1:6" ht="50.4">
      <c r="A145" s="25" t="s">
        <v>30</v>
      </c>
      <c r="B145" s="8" t="s">
        <v>161</v>
      </c>
      <c r="C145" s="67"/>
      <c r="D145" s="9" t="s">
        <v>162</v>
      </c>
      <c r="E145" s="126">
        <f t="shared" si="10"/>
        <v>286.3</v>
      </c>
      <c r="F145" s="126">
        <f t="shared" si="10"/>
        <v>276.3</v>
      </c>
    </row>
    <row r="146" spans="1:6" ht="33.6">
      <c r="A146" s="25" t="s">
        <v>30</v>
      </c>
      <c r="B146" s="8" t="s">
        <v>172</v>
      </c>
      <c r="C146" s="67"/>
      <c r="D146" s="9" t="s">
        <v>171</v>
      </c>
      <c r="E146" s="126">
        <f t="shared" si="10"/>
        <v>286.3</v>
      </c>
      <c r="F146" s="126">
        <f t="shared" si="10"/>
        <v>276.3</v>
      </c>
    </row>
    <row r="147" spans="1:6" ht="33.6">
      <c r="A147" s="25" t="s">
        <v>30</v>
      </c>
      <c r="B147" s="8" t="s">
        <v>172</v>
      </c>
      <c r="C147" s="67" t="s">
        <v>56</v>
      </c>
      <c r="D147" s="9" t="s">
        <v>57</v>
      </c>
      <c r="E147" s="126">
        <f>'№8 ведом.'!F276</f>
        <v>286.3</v>
      </c>
      <c r="F147" s="126">
        <f>'№8 ведом.'!G276</f>
        <v>276.3</v>
      </c>
    </row>
    <row r="148" spans="1:6" s="36" customFormat="1" ht="12.75">
      <c r="A148" s="26" t="s">
        <v>40</v>
      </c>
      <c r="B148" s="26"/>
      <c r="C148" s="26"/>
      <c r="D148" s="27" t="s">
        <v>7</v>
      </c>
      <c r="E148" s="52">
        <f>E149+E158+E170</f>
        <v>37568</v>
      </c>
      <c r="F148" s="52">
        <f>F149+F158+F170</f>
        <v>32485.300000000003</v>
      </c>
    </row>
    <row r="149" spans="1:6" ht="12.75">
      <c r="A149" s="25" t="s">
        <v>363</v>
      </c>
      <c r="B149" s="8"/>
      <c r="C149" s="8"/>
      <c r="D149" s="56" t="s">
        <v>364</v>
      </c>
      <c r="E149" s="126">
        <f>E150</f>
        <v>18848.1</v>
      </c>
      <c r="F149" s="126">
        <f>F150</f>
        <v>18805.4</v>
      </c>
    </row>
    <row r="150" spans="1:6" ht="67.2">
      <c r="A150" s="25" t="s">
        <v>363</v>
      </c>
      <c r="B150" s="8" t="s">
        <v>175</v>
      </c>
      <c r="C150" s="8"/>
      <c r="D150" s="56" t="s">
        <v>173</v>
      </c>
      <c r="E150" s="126">
        <f>E151</f>
        <v>18848.1</v>
      </c>
      <c r="F150" s="126">
        <f>F151</f>
        <v>18805.4</v>
      </c>
    </row>
    <row r="151" spans="1:6" ht="50.4">
      <c r="A151" s="25" t="s">
        <v>363</v>
      </c>
      <c r="B151" s="8" t="s">
        <v>265</v>
      </c>
      <c r="C151" s="8"/>
      <c r="D151" s="56" t="s">
        <v>263</v>
      </c>
      <c r="E151" s="126">
        <f>E156+E152+E154</f>
        <v>18848.1</v>
      </c>
      <c r="F151" s="126">
        <f>F156+F152+F154</f>
        <v>18805.4</v>
      </c>
    </row>
    <row r="152" spans="1:6" ht="84">
      <c r="A152" s="25" t="s">
        <v>363</v>
      </c>
      <c r="B152" s="8" t="s">
        <v>324</v>
      </c>
      <c r="C152" s="8"/>
      <c r="D152" s="56" t="s">
        <v>326</v>
      </c>
      <c r="E152" s="126">
        <f>E153</f>
        <v>5673.8</v>
      </c>
      <c r="F152" s="126">
        <f>F153</f>
        <v>5654.1</v>
      </c>
    </row>
    <row r="153" spans="1:6" ht="33.6">
      <c r="A153" s="25" t="s">
        <v>363</v>
      </c>
      <c r="B153" s="8" t="s">
        <v>324</v>
      </c>
      <c r="C153" s="25" t="s">
        <v>60</v>
      </c>
      <c r="D153" s="9" t="s">
        <v>200</v>
      </c>
      <c r="E153" s="126">
        <f>'№8 ведом.'!F109</f>
        <v>5673.8</v>
      </c>
      <c r="F153" s="126">
        <f>'№8 ведом.'!G109</f>
        <v>5654.1</v>
      </c>
    </row>
    <row r="154" spans="1:6" ht="67.2">
      <c r="A154" s="25" t="s">
        <v>363</v>
      </c>
      <c r="B154" s="8" t="s">
        <v>325</v>
      </c>
      <c r="C154" s="8"/>
      <c r="D154" s="56" t="s">
        <v>327</v>
      </c>
      <c r="E154" s="126">
        <f>E155</f>
        <v>6640.599999999999</v>
      </c>
      <c r="F154" s="126">
        <f>F155</f>
        <v>6617.6</v>
      </c>
    </row>
    <row r="155" spans="1:6" ht="33.6">
      <c r="A155" s="25" t="s">
        <v>363</v>
      </c>
      <c r="B155" s="8" t="s">
        <v>325</v>
      </c>
      <c r="C155" s="25" t="s">
        <v>60</v>
      </c>
      <c r="D155" s="9" t="s">
        <v>200</v>
      </c>
      <c r="E155" s="126">
        <f>'№8 ведом.'!F111</f>
        <v>6640.599999999999</v>
      </c>
      <c r="F155" s="126">
        <f>'№8 ведом.'!G111</f>
        <v>6617.6</v>
      </c>
    </row>
    <row r="156" spans="1:6" ht="50.4">
      <c r="A156" s="25" t="s">
        <v>363</v>
      </c>
      <c r="B156" s="8" t="s">
        <v>313</v>
      </c>
      <c r="C156" s="8"/>
      <c r="D156" s="56" t="s">
        <v>264</v>
      </c>
      <c r="E156" s="126">
        <f>E157</f>
        <v>6533.7</v>
      </c>
      <c r="F156" s="126">
        <f>F157</f>
        <v>6533.7</v>
      </c>
    </row>
    <row r="157" spans="1:6" ht="33.6">
      <c r="A157" s="25" t="s">
        <v>363</v>
      </c>
      <c r="B157" s="8" t="s">
        <v>313</v>
      </c>
      <c r="C157" s="25" t="s">
        <v>60</v>
      </c>
      <c r="D157" s="9" t="s">
        <v>200</v>
      </c>
      <c r="E157" s="126">
        <f>'№8 ведом.'!F113</f>
        <v>6533.7</v>
      </c>
      <c r="F157" s="126">
        <f>'№8 ведом.'!G113</f>
        <v>6533.7</v>
      </c>
    </row>
    <row r="158" spans="1:6" ht="12.75">
      <c r="A158" s="25" t="s">
        <v>31</v>
      </c>
      <c r="B158" s="8"/>
      <c r="C158" s="8"/>
      <c r="D158" s="10" t="s">
        <v>8</v>
      </c>
      <c r="E158" s="126">
        <f>E159</f>
        <v>4553.2</v>
      </c>
      <c r="F158" s="126">
        <f>F159</f>
        <v>710.9000000000001</v>
      </c>
    </row>
    <row r="159" spans="1:6" ht="50.4">
      <c r="A159" s="25" t="s">
        <v>31</v>
      </c>
      <c r="B159" s="8" t="s">
        <v>266</v>
      </c>
      <c r="C159" s="8"/>
      <c r="D159" s="56" t="s">
        <v>262</v>
      </c>
      <c r="E159" s="126">
        <f>E160+E167</f>
        <v>4553.2</v>
      </c>
      <c r="F159" s="126">
        <f>F160+F167</f>
        <v>710.9000000000001</v>
      </c>
    </row>
    <row r="160" spans="1:6" ht="50.4">
      <c r="A160" s="25" t="s">
        <v>31</v>
      </c>
      <c r="B160" s="16" t="s">
        <v>267</v>
      </c>
      <c r="C160" s="16"/>
      <c r="D160" s="30" t="s">
        <v>268</v>
      </c>
      <c r="E160" s="126">
        <f>E163+E165+E161</f>
        <v>2670.8999999999996</v>
      </c>
      <c r="F160" s="126">
        <f>F163+F165+F161</f>
        <v>710.9000000000001</v>
      </c>
    </row>
    <row r="161" spans="1:6" ht="33.6">
      <c r="A161" s="25" t="s">
        <v>31</v>
      </c>
      <c r="B161" s="16" t="s">
        <v>426</v>
      </c>
      <c r="C161" s="16"/>
      <c r="D161" s="30" t="s">
        <v>427</v>
      </c>
      <c r="E161" s="126">
        <f>E162</f>
        <v>1960</v>
      </c>
      <c r="F161" s="126">
        <f>F162</f>
        <v>0</v>
      </c>
    </row>
    <row r="162" spans="1:6" ht="33.6">
      <c r="A162" s="25" t="s">
        <v>31</v>
      </c>
      <c r="B162" s="16" t="s">
        <v>426</v>
      </c>
      <c r="C162" s="67" t="s">
        <v>56</v>
      </c>
      <c r="D162" s="9" t="s">
        <v>57</v>
      </c>
      <c r="E162" s="126">
        <f>'№8 ведом.'!F118</f>
        <v>1960</v>
      </c>
      <c r="F162" s="126">
        <f>'№8 ведом.'!G118</f>
        <v>0</v>
      </c>
    </row>
    <row r="163" spans="1:6" ht="50.4">
      <c r="A163" s="25" t="s">
        <v>31</v>
      </c>
      <c r="B163" s="16" t="s">
        <v>76</v>
      </c>
      <c r="C163" s="16"/>
      <c r="D163" s="30" t="s">
        <v>269</v>
      </c>
      <c r="E163" s="126">
        <f>E164</f>
        <v>115.19999999999982</v>
      </c>
      <c r="F163" s="126">
        <f>F164</f>
        <v>115.2</v>
      </c>
    </row>
    <row r="164" spans="1:6" ht="33.6">
      <c r="A164" s="25" t="s">
        <v>31</v>
      </c>
      <c r="B164" s="16" t="s">
        <v>76</v>
      </c>
      <c r="C164" s="25" t="s">
        <v>60</v>
      </c>
      <c r="D164" s="9" t="s">
        <v>200</v>
      </c>
      <c r="E164" s="126">
        <f>'№8 ведом.'!F120</f>
        <v>115.19999999999982</v>
      </c>
      <c r="F164" s="126">
        <f>'№8 ведом.'!G120</f>
        <v>115.2</v>
      </c>
    </row>
    <row r="165" spans="1:6" ht="84">
      <c r="A165" s="25" t="s">
        <v>31</v>
      </c>
      <c r="B165" s="8" t="s">
        <v>403</v>
      </c>
      <c r="C165" s="25"/>
      <c r="D165" s="9" t="s">
        <v>404</v>
      </c>
      <c r="E165" s="126">
        <f>E166</f>
        <v>595.7</v>
      </c>
      <c r="F165" s="126">
        <f>F166</f>
        <v>595.7</v>
      </c>
    </row>
    <row r="166" spans="1:6" ht="33.6">
      <c r="A166" s="25" t="s">
        <v>31</v>
      </c>
      <c r="B166" s="8" t="s">
        <v>403</v>
      </c>
      <c r="C166" s="25" t="s">
        <v>60</v>
      </c>
      <c r="D166" s="9" t="s">
        <v>200</v>
      </c>
      <c r="E166" s="126">
        <f>'№8 ведом.'!F122</f>
        <v>595.7</v>
      </c>
      <c r="F166" s="126">
        <f>'№8 ведом.'!G122</f>
        <v>595.7</v>
      </c>
    </row>
    <row r="167" spans="1:6" ht="33.6">
      <c r="A167" s="25" t="s">
        <v>31</v>
      </c>
      <c r="B167" s="16" t="s">
        <v>270</v>
      </c>
      <c r="C167" s="16"/>
      <c r="D167" s="30" t="s">
        <v>271</v>
      </c>
      <c r="E167" s="126">
        <f>E168</f>
        <v>1882.3</v>
      </c>
      <c r="F167" s="126">
        <f>F168</f>
        <v>0</v>
      </c>
    </row>
    <row r="168" spans="1:6" ht="50.4">
      <c r="A168" s="25" t="s">
        <v>31</v>
      </c>
      <c r="B168" s="8" t="s">
        <v>414</v>
      </c>
      <c r="C168" s="67"/>
      <c r="D168" s="56" t="s">
        <v>416</v>
      </c>
      <c r="E168" s="61">
        <f>E169</f>
        <v>1882.3</v>
      </c>
      <c r="F168" s="61">
        <f>F169</f>
        <v>0</v>
      </c>
    </row>
    <row r="169" spans="1:6" ht="33.6">
      <c r="A169" s="25" t="s">
        <v>31</v>
      </c>
      <c r="B169" s="8" t="s">
        <v>414</v>
      </c>
      <c r="C169" s="67">
        <v>400</v>
      </c>
      <c r="D169" s="9" t="s">
        <v>200</v>
      </c>
      <c r="E169" s="61">
        <f>'№8 ведом.'!F125</f>
        <v>1882.3</v>
      </c>
      <c r="F169" s="61">
        <f>'№8 ведом.'!G125</f>
        <v>0</v>
      </c>
    </row>
    <row r="170" spans="1:6" ht="12.75">
      <c r="A170" s="25" t="s">
        <v>32</v>
      </c>
      <c r="B170" s="8"/>
      <c r="C170" s="197"/>
      <c r="D170" s="9" t="s">
        <v>9</v>
      </c>
      <c r="E170" s="126">
        <f>E171+E181</f>
        <v>14166.7</v>
      </c>
      <c r="F170" s="126">
        <f>F171+F181</f>
        <v>12969.000000000002</v>
      </c>
    </row>
    <row r="171" spans="1:6" ht="50.4">
      <c r="A171" s="25" t="s">
        <v>32</v>
      </c>
      <c r="B171" s="8" t="s">
        <v>266</v>
      </c>
      <c r="C171" s="8"/>
      <c r="D171" s="56" t="s">
        <v>262</v>
      </c>
      <c r="E171" s="126">
        <f>E172</f>
        <v>13600</v>
      </c>
      <c r="F171" s="126">
        <f>F172</f>
        <v>12402.300000000001</v>
      </c>
    </row>
    <row r="172" spans="1:6" ht="33.6">
      <c r="A172" s="25" t="s">
        <v>32</v>
      </c>
      <c r="B172" s="8" t="s">
        <v>272</v>
      </c>
      <c r="C172" s="8"/>
      <c r="D172" s="56" t="s">
        <v>273</v>
      </c>
      <c r="E172" s="126">
        <f>E173+E175+E177+E179</f>
        <v>13600</v>
      </c>
      <c r="F172" s="126">
        <f>F173+F175+F177+F179</f>
        <v>12402.300000000001</v>
      </c>
    </row>
    <row r="173" spans="1:6" ht="12.75">
      <c r="A173" s="25" t="s">
        <v>32</v>
      </c>
      <c r="B173" s="8" t="s">
        <v>274</v>
      </c>
      <c r="C173" s="8"/>
      <c r="D173" s="56" t="s">
        <v>275</v>
      </c>
      <c r="E173" s="126">
        <f>E174</f>
        <v>9939.199999999999</v>
      </c>
      <c r="F173" s="126">
        <f>F174</f>
        <v>8741.8</v>
      </c>
    </row>
    <row r="174" spans="1:6" ht="33.6">
      <c r="A174" s="25" t="s">
        <v>32</v>
      </c>
      <c r="B174" s="8" t="s">
        <v>274</v>
      </c>
      <c r="C174" s="8" t="s">
        <v>56</v>
      </c>
      <c r="D174" s="56" t="s">
        <v>57</v>
      </c>
      <c r="E174" s="126">
        <f>'№8 ведом.'!F130</f>
        <v>9939.199999999999</v>
      </c>
      <c r="F174" s="126">
        <f>'№8 ведом.'!G130</f>
        <v>8741.8</v>
      </c>
    </row>
    <row r="175" spans="1:6" ht="12.75">
      <c r="A175" s="25" t="s">
        <v>32</v>
      </c>
      <c r="B175" s="8" t="s">
        <v>276</v>
      </c>
      <c r="C175" s="8"/>
      <c r="D175" s="56" t="s">
        <v>277</v>
      </c>
      <c r="E175" s="126">
        <f>E176</f>
        <v>3194.4</v>
      </c>
      <c r="F175" s="126">
        <f>F176</f>
        <v>3194.1</v>
      </c>
    </row>
    <row r="176" spans="1:6" ht="33.6">
      <c r="A176" s="25" t="s">
        <v>32</v>
      </c>
      <c r="B176" s="8" t="s">
        <v>276</v>
      </c>
      <c r="C176" s="8" t="s">
        <v>56</v>
      </c>
      <c r="D176" s="56" t="s">
        <v>57</v>
      </c>
      <c r="E176" s="126">
        <f>'№8 ведом.'!F132</f>
        <v>3194.4</v>
      </c>
      <c r="F176" s="126">
        <f>'№8 ведом.'!G132</f>
        <v>3194.1</v>
      </c>
    </row>
    <row r="177" spans="1:6" ht="33.6">
      <c r="A177" s="25" t="s">
        <v>32</v>
      </c>
      <c r="B177" s="8" t="s">
        <v>278</v>
      </c>
      <c r="C177" s="8"/>
      <c r="D177" s="56" t="s">
        <v>279</v>
      </c>
      <c r="E177" s="126">
        <f>E178</f>
        <v>247.7</v>
      </c>
      <c r="F177" s="126">
        <f>F178</f>
        <v>247.7</v>
      </c>
    </row>
    <row r="178" spans="1:6" ht="33.6">
      <c r="A178" s="25" t="s">
        <v>32</v>
      </c>
      <c r="B178" s="8" t="s">
        <v>278</v>
      </c>
      <c r="C178" s="8" t="s">
        <v>56</v>
      </c>
      <c r="D178" s="56" t="s">
        <v>57</v>
      </c>
      <c r="E178" s="126">
        <f>'№8 ведом.'!F134</f>
        <v>247.7</v>
      </c>
      <c r="F178" s="126">
        <f>'№8 ведом.'!G134</f>
        <v>247.7</v>
      </c>
    </row>
    <row r="179" spans="1:6" ht="33.6">
      <c r="A179" s="25" t="s">
        <v>32</v>
      </c>
      <c r="B179" s="8" t="s">
        <v>280</v>
      </c>
      <c r="C179" s="8"/>
      <c r="D179" s="56" t="s">
        <v>281</v>
      </c>
      <c r="E179" s="126">
        <f>E180</f>
        <v>218.7</v>
      </c>
      <c r="F179" s="126">
        <f>F180</f>
        <v>218.7</v>
      </c>
    </row>
    <row r="180" spans="1:6" ht="33.6">
      <c r="A180" s="25" t="s">
        <v>32</v>
      </c>
      <c r="B180" s="8" t="s">
        <v>280</v>
      </c>
      <c r="C180" s="8" t="s">
        <v>56</v>
      </c>
      <c r="D180" s="56" t="s">
        <v>57</v>
      </c>
      <c r="E180" s="126">
        <f>'№8 ведом.'!F135</f>
        <v>218.7</v>
      </c>
      <c r="F180" s="126">
        <f>'№8 ведом.'!G135</f>
        <v>218.7</v>
      </c>
    </row>
    <row r="181" spans="1:6" ht="12.75">
      <c r="A181" s="25" t="s">
        <v>32</v>
      </c>
      <c r="B181" s="3">
        <v>9900000</v>
      </c>
      <c r="C181" s="82"/>
      <c r="D181" s="24" t="s">
        <v>352</v>
      </c>
      <c r="E181" s="126">
        <f aca="true" t="shared" si="11" ref="E181:F182">E182</f>
        <v>566.7</v>
      </c>
      <c r="F181" s="126">
        <f t="shared" si="11"/>
        <v>566.7</v>
      </c>
    </row>
    <row r="182" spans="1:6" ht="33.6">
      <c r="A182" s="25" t="s">
        <v>32</v>
      </c>
      <c r="B182" s="3">
        <v>9911000</v>
      </c>
      <c r="C182" s="8" t="s">
        <v>53</v>
      </c>
      <c r="D182" s="24" t="s">
        <v>116</v>
      </c>
      <c r="E182" s="126">
        <f t="shared" si="11"/>
        <v>566.7</v>
      </c>
      <c r="F182" s="126">
        <f t="shared" si="11"/>
        <v>566.7</v>
      </c>
    </row>
    <row r="183" spans="1:6" ht="33.6">
      <c r="A183" s="25" t="s">
        <v>32</v>
      </c>
      <c r="B183" s="3">
        <v>9911000</v>
      </c>
      <c r="C183" s="8" t="s">
        <v>56</v>
      </c>
      <c r="D183" s="56" t="s">
        <v>57</v>
      </c>
      <c r="E183" s="126">
        <f>'№8 ведом.'!F139</f>
        <v>566.7</v>
      </c>
      <c r="F183" s="126">
        <f>'№8 ведом.'!G139</f>
        <v>566.7</v>
      </c>
    </row>
    <row r="184" spans="1:6" s="36" customFormat="1" ht="12.75">
      <c r="A184" s="26" t="s">
        <v>19</v>
      </c>
      <c r="B184" s="26"/>
      <c r="C184" s="26"/>
      <c r="D184" s="27" t="s">
        <v>10</v>
      </c>
      <c r="E184" s="52">
        <f>E185+E205+E248+E275</f>
        <v>453167.5</v>
      </c>
      <c r="F184" s="52">
        <f>F185+F205+F248+F275</f>
        <v>448189.89999999997</v>
      </c>
    </row>
    <row r="185" spans="1:6" ht="12.75">
      <c r="A185" s="127" t="s">
        <v>33</v>
      </c>
      <c r="B185" s="127"/>
      <c r="C185" s="196"/>
      <c r="D185" s="9" t="s">
        <v>372</v>
      </c>
      <c r="E185" s="126">
        <f>E186+E202</f>
        <v>156388.4</v>
      </c>
      <c r="F185" s="126">
        <f>F186+F202</f>
        <v>154227</v>
      </c>
    </row>
    <row r="186" spans="1:6" ht="50.4">
      <c r="A186" s="127" t="s">
        <v>33</v>
      </c>
      <c r="B186" s="127" t="s">
        <v>81</v>
      </c>
      <c r="C186" s="196"/>
      <c r="D186" s="9" t="s">
        <v>79</v>
      </c>
      <c r="E186" s="126">
        <f aca="true" t="shared" si="12" ref="E186:F186">E187</f>
        <v>156313.4</v>
      </c>
      <c r="F186" s="126">
        <f t="shared" si="12"/>
        <v>154152</v>
      </c>
    </row>
    <row r="187" spans="1:6" ht="33.6">
      <c r="A187" s="127" t="s">
        <v>33</v>
      </c>
      <c r="B187" s="127" t="s">
        <v>82</v>
      </c>
      <c r="C187" s="196"/>
      <c r="D187" s="9" t="s">
        <v>80</v>
      </c>
      <c r="E187" s="126">
        <f>E188+E190+E192+E194+E200+E198+E196</f>
        <v>156313.4</v>
      </c>
      <c r="F187" s="126">
        <f>F188+F190+F192+F194+F200+F198+F196</f>
        <v>154152</v>
      </c>
    </row>
    <row r="188" spans="1:6" ht="50.4">
      <c r="A188" s="127" t="s">
        <v>33</v>
      </c>
      <c r="B188" s="8" t="s">
        <v>83</v>
      </c>
      <c r="C188" s="8"/>
      <c r="D188" s="56" t="s">
        <v>84</v>
      </c>
      <c r="E188" s="126">
        <f>E189</f>
        <v>64213.600000000006</v>
      </c>
      <c r="F188" s="126">
        <f>F189</f>
        <v>62052.2</v>
      </c>
    </row>
    <row r="189" spans="1:6" ht="33.6">
      <c r="A189" s="127" t="s">
        <v>33</v>
      </c>
      <c r="B189" s="8" t="s">
        <v>83</v>
      </c>
      <c r="C189" s="197">
        <v>600</v>
      </c>
      <c r="D189" s="9" t="s">
        <v>87</v>
      </c>
      <c r="E189" s="126">
        <f>'№8 ведом.'!F375</f>
        <v>64213.600000000006</v>
      </c>
      <c r="F189" s="126">
        <f>'№8 ведом.'!G375</f>
        <v>62052.2</v>
      </c>
    </row>
    <row r="190" spans="1:6" ht="33.6">
      <c r="A190" s="127" t="s">
        <v>33</v>
      </c>
      <c r="B190" s="8" t="s">
        <v>315</v>
      </c>
      <c r="C190" s="8"/>
      <c r="D190" s="56" t="s">
        <v>88</v>
      </c>
      <c r="E190" s="126">
        <f>E191</f>
        <v>2128.2999999999997</v>
      </c>
      <c r="F190" s="126">
        <f>F191</f>
        <v>2128.3</v>
      </c>
    </row>
    <row r="191" spans="1:6" ht="33.6">
      <c r="A191" s="127" t="s">
        <v>33</v>
      </c>
      <c r="B191" s="8" t="s">
        <v>315</v>
      </c>
      <c r="C191" s="197">
        <v>600</v>
      </c>
      <c r="D191" s="9" t="s">
        <v>87</v>
      </c>
      <c r="E191" s="126">
        <f>'№8 ведом.'!F377</f>
        <v>2128.2999999999997</v>
      </c>
      <c r="F191" s="126">
        <f>'№8 ведом.'!G377</f>
        <v>2128.3</v>
      </c>
    </row>
    <row r="192" spans="1:6" ht="33.6">
      <c r="A192" s="127" t="s">
        <v>33</v>
      </c>
      <c r="B192" s="8" t="s">
        <v>316</v>
      </c>
      <c r="C192" s="8"/>
      <c r="D192" s="56" t="s">
        <v>89</v>
      </c>
      <c r="E192" s="126">
        <f>E193</f>
        <v>235.8</v>
      </c>
      <c r="F192" s="126">
        <f>F193</f>
        <v>235.8</v>
      </c>
    </row>
    <row r="193" spans="1:6" ht="33.6">
      <c r="A193" s="11" t="s">
        <v>33</v>
      </c>
      <c r="B193" s="8" t="s">
        <v>316</v>
      </c>
      <c r="C193" s="197">
        <v>600</v>
      </c>
      <c r="D193" s="9" t="s">
        <v>87</v>
      </c>
      <c r="E193" s="126">
        <f>'№8 ведом.'!F379</f>
        <v>235.8</v>
      </c>
      <c r="F193" s="126">
        <f>'№8 ведом.'!G379</f>
        <v>235.8</v>
      </c>
    </row>
    <row r="194" spans="1:6" ht="50.4">
      <c r="A194" s="11" t="s">
        <v>33</v>
      </c>
      <c r="B194" s="8" t="s">
        <v>317</v>
      </c>
      <c r="C194" s="8"/>
      <c r="D194" s="56" t="s">
        <v>98</v>
      </c>
      <c r="E194" s="126">
        <f>E195</f>
        <v>1037.1</v>
      </c>
      <c r="F194" s="126">
        <f>F195</f>
        <v>1037.1</v>
      </c>
    </row>
    <row r="195" spans="1:6" ht="33.6">
      <c r="A195" s="11" t="s">
        <v>33</v>
      </c>
      <c r="B195" s="8" t="s">
        <v>317</v>
      </c>
      <c r="C195" s="197">
        <v>600</v>
      </c>
      <c r="D195" s="9" t="s">
        <v>87</v>
      </c>
      <c r="E195" s="126">
        <f>'№8 ведом.'!F381</f>
        <v>1037.1</v>
      </c>
      <c r="F195" s="126">
        <f>'№8 ведом.'!G381</f>
        <v>1037.1</v>
      </c>
    </row>
    <row r="196" spans="1:6" ht="75" customHeight="1">
      <c r="A196" s="11" t="s">
        <v>33</v>
      </c>
      <c r="B196" s="8" t="s">
        <v>436</v>
      </c>
      <c r="C196" s="197"/>
      <c r="D196" s="9" t="s">
        <v>572</v>
      </c>
      <c r="E196" s="126">
        <f>E197</f>
        <v>194.5</v>
      </c>
      <c r="F196" s="126">
        <f>F197</f>
        <v>194.5</v>
      </c>
    </row>
    <row r="197" spans="1:6" ht="33.6">
      <c r="A197" s="11" t="s">
        <v>33</v>
      </c>
      <c r="B197" s="8" t="s">
        <v>436</v>
      </c>
      <c r="C197" s="197">
        <v>600</v>
      </c>
      <c r="D197" s="9" t="s">
        <v>87</v>
      </c>
      <c r="E197" s="126">
        <f>'№8 ведом.'!F383</f>
        <v>194.5</v>
      </c>
      <c r="F197" s="126">
        <f>'№8 ведом.'!G383</f>
        <v>194.5</v>
      </c>
    </row>
    <row r="198" spans="1:6" ht="67.2">
      <c r="A198" s="11" t="s">
        <v>33</v>
      </c>
      <c r="B198" s="8" t="s">
        <v>421</v>
      </c>
      <c r="C198" s="197"/>
      <c r="D198" s="9" t="s">
        <v>422</v>
      </c>
      <c r="E198" s="126">
        <f>E199</f>
        <v>601.4</v>
      </c>
      <c r="F198" s="126">
        <f>F199</f>
        <v>601.4</v>
      </c>
    </row>
    <row r="199" spans="1:6" ht="33.6">
      <c r="A199" s="11" t="s">
        <v>33</v>
      </c>
      <c r="B199" s="8" t="s">
        <v>421</v>
      </c>
      <c r="C199" s="197">
        <v>600</v>
      </c>
      <c r="D199" s="9" t="s">
        <v>87</v>
      </c>
      <c r="E199" s="126">
        <f>'№8 ведом.'!F385</f>
        <v>601.4</v>
      </c>
      <c r="F199" s="126">
        <f>'№8 ведом.'!G385</f>
        <v>601.4</v>
      </c>
    </row>
    <row r="200" spans="1:6" ht="67.2">
      <c r="A200" s="11" t="s">
        <v>33</v>
      </c>
      <c r="B200" s="8" t="s">
        <v>85</v>
      </c>
      <c r="C200" s="8"/>
      <c r="D200" s="9" t="s">
        <v>86</v>
      </c>
      <c r="E200" s="126">
        <f>E201</f>
        <v>87902.7</v>
      </c>
      <c r="F200" s="126">
        <f>F201</f>
        <v>87902.7</v>
      </c>
    </row>
    <row r="201" spans="1:6" ht="33.6">
      <c r="A201" s="127" t="s">
        <v>33</v>
      </c>
      <c r="B201" s="8" t="s">
        <v>85</v>
      </c>
      <c r="C201" s="197">
        <v>600</v>
      </c>
      <c r="D201" s="9" t="s">
        <v>87</v>
      </c>
      <c r="E201" s="126">
        <f>'№8 ведом.'!F387</f>
        <v>87902.7</v>
      </c>
      <c r="F201" s="126">
        <f>'№8 ведом.'!G387</f>
        <v>87902.7</v>
      </c>
    </row>
    <row r="202" spans="1:6" ht="33.6">
      <c r="A202" s="11" t="s">
        <v>33</v>
      </c>
      <c r="B202" s="8" t="s">
        <v>297</v>
      </c>
      <c r="C202" s="25"/>
      <c r="D202" s="9" t="s">
        <v>294</v>
      </c>
      <c r="E202" s="126">
        <f>E203</f>
        <v>75</v>
      </c>
      <c r="F202" s="126">
        <f>F203</f>
        <v>75</v>
      </c>
    </row>
    <row r="203" spans="1:6" ht="50.4">
      <c r="A203" s="11" t="s">
        <v>33</v>
      </c>
      <c r="B203" s="9">
        <v>9977888</v>
      </c>
      <c r="C203" s="197"/>
      <c r="D203" s="9" t="s">
        <v>429</v>
      </c>
      <c r="E203" s="126">
        <f>E204</f>
        <v>75</v>
      </c>
      <c r="F203" s="126">
        <f>F204</f>
        <v>75</v>
      </c>
    </row>
    <row r="204" spans="1:6" ht="33.6">
      <c r="A204" s="127" t="s">
        <v>33</v>
      </c>
      <c r="B204" s="9">
        <v>9977888</v>
      </c>
      <c r="C204" s="197">
        <v>600</v>
      </c>
      <c r="D204" s="9" t="s">
        <v>87</v>
      </c>
      <c r="E204" s="126">
        <f>'№8 ведом.'!F390</f>
        <v>75</v>
      </c>
      <c r="F204" s="126">
        <f>'№8 ведом.'!G390</f>
        <v>75</v>
      </c>
    </row>
    <row r="205" spans="1:6" ht="12.75">
      <c r="A205" s="127" t="s">
        <v>34</v>
      </c>
      <c r="B205" s="127"/>
      <c r="C205" s="196"/>
      <c r="D205" s="30" t="s">
        <v>373</v>
      </c>
      <c r="E205" s="126">
        <f>E206+E238+E242</f>
        <v>273126.1</v>
      </c>
      <c r="F205" s="126">
        <f>F206+F238+F242</f>
        <v>270339.39999999997</v>
      </c>
    </row>
    <row r="206" spans="1:6" ht="50.4">
      <c r="A206" s="127" t="s">
        <v>34</v>
      </c>
      <c r="B206" s="127" t="s">
        <v>81</v>
      </c>
      <c r="C206" s="196"/>
      <c r="D206" s="9" t="s">
        <v>79</v>
      </c>
      <c r="E206" s="126">
        <f>E207</f>
        <v>244839.89999999997</v>
      </c>
      <c r="F206" s="126">
        <f>F207</f>
        <v>242469.79999999996</v>
      </c>
    </row>
    <row r="207" spans="1:6" ht="33.6">
      <c r="A207" s="11" t="s">
        <v>34</v>
      </c>
      <c r="B207" s="127" t="s">
        <v>82</v>
      </c>
      <c r="C207" s="196"/>
      <c r="D207" s="9" t="s">
        <v>80</v>
      </c>
      <c r="E207" s="126">
        <f>E208+E210+E212+E214+E216+E218+E220+E236+E228+E226+E230+E222+E224+E232+E234</f>
        <v>244839.89999999997</v>
      </c>
      <c r="F207" s="126">
        <f>F208+F210+F212+F214+F216+F218+F220+F236+F228+F226+F230+F222+F224+F232+F234</f>
        <v>242469.79999999996</v>
      </c>
    </row>
    <row r="208" spans="1:6" ht="67.2">
      <c r="A208" s="11" t="s">
        <v>34</v>
      </c>
      <c r="B208" s="8" t="s">
        <v>90</v>
      </c>
      <c r="C208" s="8"/>
      <c r="D208" s="56" t="s">
        <v>91</v>
      </c>
      <c r="E208" s="126">
        <f>E209</f>
        <v>34190.9</v>
      </c>
      <c r="F208" s="126">
        <f>F209</f>
        <v>33620.6</v>
      </c>
    </row>
    <row r="209" spans="1:6" ht="33.6">
      <c r="A209" s="11" t="s">
        <v>34</v>
      </c>
      <c r="B209" s="8" t="s">
        <v>90</v>
      </c>
      <c r="C209" s="197">
        <v>600</v>
      </c>
      <c r="D209" s="9" t="s">
        <v>87</v>
      </c>
      <c r="E209" s="126">
        <f>'№8 ведом.'!F395</f>
        <v>34190.9</v>
      </c>
      <c r="F209" s="126">
        <f>'№8 ведом.'!G395</f>
        <v>33620.6</v>
      </c>
    </row>
    <row r="210" spans="1:6" ht="33.6">
      <c r="A210" s="11" t="s">
        <v>34</v>
      </c>
      <c r="B210" s="8" t="s">
        <v>92</v>
      </c>
      <c r="C210" s="8"/>
      <c r="D210" s="56" t="s">
        <v>93</v>
      </c>
      <c r="E210" s="126">
        <f>E211</f>
        <v>3681.8</v>
      </c>
      <c r="F210" s="126">
        <f>F211</f>
        <v>3681.8</v>
      </c>
    </row>
    <row r="211" spans="1:6" ht="33.6">
      <c r="A211" s="11" t="s">
        <v>34</v>
      </c>
      <c r="B211" s="8" t="s">
        <v>92</v>
      </c>
      <c r="C211" s="197">
        <v>600</v>
      </c>
      <c r="D211" s="9" t="s">
        <v>87</v>
      </c>
      <c r="E211" s="126">
        <f>'№8 ведом.'!F397</f>
        <v>3681.8</v>
      </c>
      <c r="F211" s="126">
        <f>'№8 ведом.'!G397</f>
        <v>3681.8</v>
      </c>
    </row>
    <row r="212" spans="1:6" ht="50.4">
      <c r="A212" s="11" t="s">
        <v>34</v>
      </c>
      <c r="B212" s="8" t="s">
        <v>94</v>
      </c>
      <c r="C212" s="8"/>
      <c r="D212" s="56" t="s">
        <v>95</v>
      </c>
      <c r="E212" s="126">
        <f>E213</f>
        <v>7686.6</v>
      </c>
      <c r="F212" s="126">
        <f>F213</f>
        <v>7667.1</v>
      </c>
    </row>
    <row r="213" spans="1:6" ht="33.6">
      <c r="A213" s="11" t="s">
        <v>34</v>
      </c>
      <c r="B213" s="8" t="s">
        <v>94</v>
      </c>
      <c r="C213" s="197">
        <v>600</v>
      </c>
      <c r="D213" s="9" t="s">
        <v>87</v>
      </c>
      <c r="E213" s="126">
        <f>'№8 ведом.'!F399</f>
        <v>7686.6</v>
      </c>
      <c r="F213" s="126">
        <f>'№8 ведом.'!G399</f>
        <v>7667.1</v>
      </c>
    </row>
    <row r="214" spans="1:6" ht="33.6">
      <c r="A214" s="11" t="s">
        <v>34</v>
      </c>
      <c r="B214" s="8" t="s">
        <v>318</v>
      </c>
      <c r="C214" s="8"/>
      <c r="D214" s="56" t="s">
        <v>96</v>
      </c>
      <c r="E214" s="126">
        <f>E215</f>
        <v>5136.4</v>
      </c>
      <c r="F214" s="126">
        <f>F215</f>
        <v>5136.4</v>
      </c>
    </row>
    <row r="215" spans="1:6" ht="33.6">
      <c r="A215" s="11" t="s">
        <v>34</v>
      </c>
      <c r="B215" s="8" t="s">
        <v>318</v>
      </c>
      <c r="C215" s="197">
        <v>600</v>
      </c>
      <c r="D215" s="9" t="s">
        <v>87</v>
      </c>
      <c r="E215" s="126">
        <f>'№8 ведом.'!F401</f>
        <v>5136.4</v>
      </c>
      <c r="F215" s="126">
        <f>'№8 ведом.'!G401</f>
        <v>5136.4</v>
      </c>
    </row>
    <row r="216" spans="1:6" ht="33.6">
      <c r="A216" s="11" t="s">
        <v>34</v>
      </c>
      <c r="B216" s="8" t="s">
        <v>319</v>
      </c>
      <c r="C216" s="8"/>
      <c r="D216" s="56" t="s">
        <v>97</v>
      </c>
      <c r="E216" s="126">
        <f>E217</f>
        <v>464.5</v>
      </c>
      <c r="F216" s="126">
        <f>F217</f>
        <v>464.5</v>
      </c>
    </row>
    <row r="217" spans="1:6" ht="33.6">
      <c r="A217" s="11" t="s">
        <v>34</v>
      </c>
      <c r="B217" s="8" t="s">
        <v>319</v>
      </c>
      <c r="C217" s="197">
        <v>600</v>
      </c>
      <c r="D217" s="9" t="s">
        <v>87</v>
      </c>
      <c r="E217" s="126">
        <f>'№8 ведом.'!F403</f>
        <v>464.5</v>
      </c>
      <c r="F217" s="126">
        <f>'№8 ведом.'!G403</f>
        <v>464.5</v>
      </c>
    </row>
    <row r="218" spans="1:6" ht="50.4">
      <c r="A218" s="11" t="s">
        <v>34</v>
      </c>
      <c r="B218" s="8" t="s">
        <v>320</v>
      </c>
      <c r="C218" s="8"/>
      <c r="D218" s="56" t="s">
        <v>99</v>
      </c>
      <c r="E218" s="126">
        <f>E219</f>
        <v>5482.1</v>
      </c>
      <c r="F218" s="126">
        <f>F219</f>
        <v>3910.3</v>
      </c>
    </row>
    <row r="219" spans="1:6" ht="33.6">
      <c r="A219" s="11" t="s">
        <v>34</v>
      </c>
      <c r="B219" s="8" t="s">
        <v>320</v>
      </c>
      <c r="C219" s="197">
        <v>600</v>
      </c>
      <c r="D219" s="56" t="s">
        <v>87</v>
      </c>
      <c r="E219" s="126">
        <f>'№8 ведом.'!F405</f>
        <v>5482.1</v>
      </c>
      <c r="F219" s="126">
        <f>'№8 ведом.'!G405</f>
        <v>3910.3</v>
      </c>
    </row>
    <row r="220" spans="1:6" ht="50.4">
      <c r="A220" s="11" t="s">
        <v>34</v>
      </c>
      <c r="B220" s="8" t="s">
        <v>100</v>
      </c>
      <c r="C220" s="8"/>
      <c r="D220" s="23" t="s">
        <v>101</v>
      </c>
      <c r="E220" s="126">
        <f>E221</f>
        <v>4852.7</v>
      </c>
      <c r="F220" s="126">
        <f>F221</f>
        <v>4644.2</v>
      </c>
    </row>
    <row r="221" spans="1:6" ht="33.6">
      <c r="A221" s="11" t="s">
        <v>34</v>
      </c>
      <c r="B221" s="8" t="s">
        <v>100</v>
      </c>
      <c r="C221" s="197">
        <v>600</v>
      </c>
      <c r="D221" s="56" t="s">
        <v>87</v>
      </c>
      <c r="E221" s="126">
        <f>'№8 ведом.'!F407</f>
        <v>4852.7</v>
      </c>
      <c r="F221" s="126">
        <f>'№8 ведом.'!G407</f>
        <v>4644.2</v>
      </c>
    </row>
    <row r="222" spans="1:6" ht="50.4">
      <c r="A222" s="11" t="s">
        <v>34</v>
      </c>
      <c r="B222" s="8" t="s">
        <v>438</v>
      </c>
      <c r="C222" s="8"/>
      <c r="D222" s="9" t="s">
        <v>439</v>
      </c>
      <c r="E222" s="126">
        <f>E223</f>
        <v>159.5000000000001</v>
      </c>
      <c r="F222" s="126">
        <f>F223</f>
        <v>159.5</v>
      </c>
    </row>
    <row r="223" spans="1:6" ht="33.6">
      <c r="A223" s="11" t="s">
        <v>34</v>
      </c>
      <c r="B223" s="8" t="s">
        <v>438</v>
      </c>
      <c r="C223" s="197">
        <v>600</v>
      </c>
      <c r="D223" s="9" t="s">
        <v>87</v>
      </c>
      <c r="E223" s="126">
        <f>'№8 ведом.'!F409</f>
        <v>159.5000000000001</v>
      </c>
      <c r="F223" s="126">
        <f>'№8 ведом.'!G409</f>
        <v>159.5</v>
      </c>
    </row>
    <row r="224" spans="1:6" ht="84">
      <c r="A224" s="11" t="s">
        <v>34</v>
      </c>
      <c r="B224" s="8" t="s">
        <v>490</v>
      </c>
      <c r="C224" s="197"/>
      <c r="D224" s="9" t="s">
        <v>493</v>
      </c>
      <c r="E224" s="126">
        <f>E225</f>
        <v>1067.4</v>
      </c>
      <c r="F224" s="126">
        <f>F225</f>
        <v>1067.4</v>
      </c>
    </row>
    <row r="225" spans="1:6" ht="33.6">
      <c r="A225" s="11" t="s">
        <v>34</v>
      </c>
      <c r="B225" s="8" t="s">
        <v>490</v>
      </c>
      <c r="C225" s="197">
        <v>600</v>
      </c>
      <c r="D225" s="9" t="s">
        <v>87</v>
      </c>
      <c r="E225" s="126">
        <f>'№8 ведом.'!F411</f>
        <v>1067.4</v>
      </c>
      <c r="F225" s="126">
        <f>'№8 ведом.'!G411</f>
        <v>1067.4</v>
      </c>
    </row>
    <row r="226" spans="1:6" ht="67.2">
      <c r="A226" s="11" t="s">
        <v>34</v>
      </c>
      <c r="B226" s="8" t="s">
        <v>421</v>
      </c>
      <c r="C226" s="197"/>
      <c r="D226" s="9" t="s">
        <v>422</v>
      </c>
      <c r="E226" s="126">
        <f>E227</f>
        <v>3768</v>
      </c>
      <c r="F226" s="126">
        <f>F227</f>
        <v>3768</v>
      </c>
    </row>
    <row r="227" spans="1:6" ht="33.6">
      <c r="A227" s="11" t="s">
        <v>34</v>
      </c>
      <c r="B227" s="8" t="s">
        <v>421</v>
      </c>
      <c r="C227" s="197">
        <v>600</v>
      </c>
      <c r="D227" s="9" t="s">
        <v>87</v>
      </c>
      <c r="E227" s="126">
        <f>'№8 ведом.'!F413</f>
        <v>3768</v>
      </c>
      <c r="F227" s="126">
        <f>'№8 ведом.'!G413</f>
        <v>3768</v>
      </c>
    </row>
    <row r="228" spans="1:6" ht="50.4">
      <c r="A228" s="11" t="s">
        <v>34</v>
      </c>
      <c r="B228" s="8" t="s">
        <v>399</v>
      </c>
      <c r="C228" s="197"/>
      <c r="D228" s="23" t="s">
        <v>400</v>
      </c>
      <c r="E228" s="126">
        <f>E229</f>
        <v>4234</v>
      </c>
      <c r="F228" s="126">
        <f>F229</f>
        <v>4234</v>
      </c>
    </row>
    <row r="229" spans="1:6" ht="33.6">
      <c r="A229" s="11" t="s">
        <v>34</v>
      </c>
      <c r="B229" s="8" t="s">
        <v>399</v>
      </c>
      <c r="C229" s="197">
        <v>600</v>
      </c>
      <c r="D229" s="56" t="s">
        <v>87</v>
      </c>
      <c r="E229" s="126">
        <f>'№8 ведом.'!F415</f>
        <v>4234</v>
      </c>
      <c r="F229" s="126">
        <f>'№8 ведом.'!G415</f>
        <v>4234</v>
      </c>
    </row>
    <row r="230" spans="1:6" ht="67.2">
      <c r="A230" s="11" t="s">
        <v>34</v>
      </c>
      <c r="B230" s="8" t="s">
        <v>423</v>
      </c>
      <c r="C230" s="197"/>
      <c r="D230" s="56" t="s">
        <v>424</v>
      </c>
      <c r="E230" s="126">
        <f>E231</f>
        <v>742.3</v>
      </c>
      <c r="F230" s="126">
        <f>F231</f>
        <v>742.3</v>
      </c>
    </row>
    <row r="231" spans="1:6" ht="33.6">
      <c r="A231" s="11" t="s">
        <v>34</v>
      </c>
      <c r="B231" s="8" t="s">
        <v>423</v>
      </c>
      <c r="C231" s="197">
        <v>600</v>
      </c>
      <c r="D231" s="56" t="s">
        <v>87</v>
      </c>
      <c r="E231" s="126">
        <f>'№8 ведом.'!F417</f>
        <v>742.3</v>
      </c>
      <c r="F231" s="126">
        <f>'№8 ведом.'!G417</f>
        <v>742.3</v>
      </c>
    </row>
    <row r="232" spans="1:6" ht="100.8">
      <c r="A232" s="11" t="s">
        <v>34</v>
      </c>
      <c r="B232" s="8" t="s">
        <v>492</v>
      </c>
      <c r="C232" s="197"/>
      <c r="D232" s="9" t="s">
        <v>494</v>
      </c>
      <c r="E232" s="126">
        <f>E233</f>
        <v>457.4</v>
      </c>
      <c r="F232" s="126">
        <f>F233</f>
        <v>457.4</v>
      </c>
    </row>
    <row r="233" spans="1:6" ht="33.6">
      <c r="A233" s="11" t="s">
        <v>34</v>
      </c>
      <c r="B233" s="8" t="s">
        <v>492</v>
      </c>
      <c r="C233" s="197">
        <v>600</v>
      </c>
      <c r="D233" s="56" t="s">
        <v>87</v>
      </c>
      <c r="E233" s="126">
        <f>'№8 ведом.'!F419</f>
        <v>457.4</v>
      </c>
      <c r="F233" s="126">
        <f>'№8 ведом.'!G419</f>
        <v>457.4</v>
      </c>
    </row>
    <row r="234" spans="1:6" ht="100.8">
      <c r="A234" s="11" t="s">
        <v>34</v>
      </c>
      <c r="B234" s="8" t="s">
        <v>496</v>
      </c>
      <c r="C234" s="197"/>
      <c r="D234" s="56" t="s">
        <v>495</v>
      </c>
      <c r="E234" s="126">
        <f>E235</f>
        <v>927.4</v>
      </c>
      <c r="F234" s="126">
        <f>F235</f>
        <v>927.4</v>
      </c>
    </row>
    <row r="235" spans="1:6" ht="33.6">
      <c r="A235" s="11" t="s">
        <v>34</v>
      </c>
      <c r="B235" s="8" t="s">
        <v>496</v>
      </c>
      <c r="C235" s="197">
        <v>600</v>
      </c>
      <c r="D235" s="56" t="s">
        <v>87</v>
      </c>
      <c r="E235" s="126">
        <f>'№8 ведом.'!F421</f>
        <v>927.4</v>
      </c>
      <c r="F235" s="126">
        <f>'№8 ведом.'!G421</f>
        <v>927.4</v>
      </c>
    </row>
    <row r="236" spans="1:6" ht="117.6">
      <c r="A236" s="11" t="s">
        <v>34</v>
      </c>
      <c r="B236" s="8" t="s">
        <v>112</v>
      </c>
      <c r="C236" s="8"/>
      <c r="D236" s="56" t="s">
        <v>113</v>
      </c>
      <c r="E236" s="126">
        <f>E237</f>
        <v>171988.9</v>
      </c>
      <c r="F236" s="126">
        <f>F237</f>
        <v>171988.9</v>
      </c>
    </row>
    <row r="237" spans="1:6" ht="33.6">
      <c r="A237" s="127" t="s">
        <v>34</v>
      </c>
      <c r="B237" s="8" t="s">
        <v>112</v>
      </c>
      <c r="C237" s="197">
        <v>600</v>
      </c>
      <c r="D237" s="56" t="s">
        <v>87</v>
      </c>
      <c r="E237" s="126">
        <f>'№8 ведом.'!F423</f>
        <v>171988.9</v>
      </c>
      <c r="F237" s="126">
        <f>'№8 ведом.'!G423</f>
        <v>171988.9</v>
      </c>
    </row>
    <row r="238" spans="1:6" ht="50.4">
      <c r="A238" s="25" t="s">
        <v>34</v>
      </c>
      <c r="B238" s="8" t="s">
        <v>179</v>
      </c>
      <c r="C238" s="8"/>
      <c r="D238" s="56" t="s">
        <v>180</v>
      </c>
      <c r="E238" s="126">
        <f aca="true" t="shared" si="13" ref="E238:F240">E239</f>
        <v>15249.6</v>
      </c>
      <c r="F238" s="126">
        <f t="shared" si="13"/>
        <v>15161.8</v>
      </c>
    </row>
    <row r="239" spans="1:6" ht="33.6">
      <c r="A239" s="25" t="s">
        <v>34</v>
      </c>
      <c r="B239" s="8" t="s">
        <v>181</v>
      </c>
      <c r="C239" s="8"/>
      <c r="D239" s="56" t="s">
        <v>182</v>
      </c>
      <c r="E239" s="126">
        <f t="shared" si="13"/>
        <v>15249.6</v>
      </c>
      <c r="F239" s="126">
        <f t="shared" si="13"/>
        <v>15161.8</v>
      </c>
    </row>
    <row r="240" spans="1:6" ht="33.6">
      <c r="A240" s="25" t="s">
        <v>34</v>
      </c>
      <c r="B240" s="8" t="s">
        <v>282</v>
      </c>
      <c r="C240" s="8"/>
      <c r="D240" s="56" t="s">
        <v>283</v>
      </c>
      <c r="E240" s="126">
        <f t="shared" si="13"/>
        <v>15249.6</v>
      </c>
      <c r="F240" s="126">
        <f t="shared" si="13"/>
        <v>15161.8</v>
      </c>
    </row>
    <row r="241" spans="1:6" ht="33.6">
      <c r="A241" s="25" t="s">
        <v>34</v>
      </c>
      <c r="B241" s="8" t="s">
        <v>282</v>
      </c>
      <c r="C241" s="197">
        <v>600</v>
      </c>
      <c r="D241" s="9" t="s">
        <v>87</v>
      </c>
      <c r="E241" s="126">
        <f>'№8 ведом.'!F145</f>
        <v>15249.6</v>
      </c>
      <c r="F241" s="126">
        <f>'№8 ведом.'!G145</f>
        <v>15161.8</v>
      </c>
    </row>
    <row r="242" spans="1:6" ht="50.4">
      <c r="A242" s="127" t="s">
        <v>34</v>
      </c>
      <c r="B242" s="127" t="s">
        <v>143</v>
      </c>
      <c r="C242" s="196"/>
      <c r="D242" s="9" t="s">
        <v>142</v>
      </c>
      <c r="E242" s="126">
        <f>E243</f>
        <v>13036.6</v>
      </c>
      <c r="F242" s="126">
        <f>F243</f>
        <v>12707.800000000001</v>
      </c>
    </row>
    <row r="243" spans="1:6" ht="33.6">
      <c r="A243" s="127" t="s">
        <v>34</v>
      </c>
      <c r="B243" s="127" t="s">
        <v>145</v>
      </c>
      <c r="C243" s="196"/>
      <c r="D243" s="9" t="s">
        <v>144</v>
      </c>
      <c r="E243" s="126">
        <f>E244+E246</f>
        <v>13036.6</v>
      </c>
      <c r="F243" s="126">
        <f>F244+F246</f>
        <v>12707.800000000001</v>
      </c>
    </row>
    <row r="244" spans="1:6" ht="50.4">
      <c r="A244" s="127" t="s">
        <v>34</v>
      </c>
      <c r="B244" s="127" t="s">
        <v>147</v>
      </c>
      <c r="C244" s="196"/>
      <c r="D244" s="9" t="s">
        <v>146</v>
      </c>
      <c r="E244" s="126">
        <f>E245</f>
        <v>12921.5</v>
      </c>
      <c r="F244" s="126">
        <f>F245</f>
        <v>12592.7</v>
      </c>
    </row>
    <row r="245" spans="1:6" ht="33.6">
      <c r="A245" s="127" t="s">
        <v>34</v>
      </c>
      <c r="B245" s="127" t="s">
        <v>147</v>
      </c>
      <c r="C245" s="197">
        <v>600</v>
      </c>
      <c r="D245" s="9" t="s">
        <v>87</v>
      </c>
      <c r="E245" s="126">
        <f>'№8 ведом.'!F309</f>
        <v>12921.5</v>
      </c>
      <c r="F245" s="126">
        <f>'№8 ведом.'!G309</f>
        <v>12592.7</v>
      </c>
    </row>
    <row r="246" spans="1:6" ht="50.4">
      <c r="A246" s="127" t="s">
        <v>34</v>
      </c>
      <c r="B246" s="127" t="s">
        <v>499</v>
      </c>
      <c r="C246" s="196"/>
      <c r="D246" s="9" t="s">
        <v>500</v>
      </c>
      <c r="E246" s="126">
        <f>E247</f>
        <v>115.1</v>
      </c>
      <c r="F246" s="126">
        <f>F247</f>
        <v>115.1</v>
      </c>
    </row>
    <row r="247" spans="1:6" ht="33.6">
      <c r="A247" s="127" t="s">
        <v>34</v>
      </c>
      <c r="B247" s="127" t="s">
        <v>499</v>
      </c>
      <c r="C247" s="197">
        <v>600</v>
      </c>
      <c r="D247" s="9" t="s">
        <v>87</v>
      </c>
      <c r="E247" s="126">
        <f>'№8 ведом.'!F311</f>
        <v>115.1</v>
      </c>
      <c r="F247" s="126">
        <f>'№8 ведом.'!G311</f>
        <v>115.1</v>
      </c>
    </row>
    <row r="248" spans="1:6" ht="12.75">
      <c r="A248" s="127" t="s">
        <v>20</v>
      </c>
      <c r="B248" s="127"/>
      <c r="C248" s="196"/>
      <c r="D248" s="9" t="s">
        <v>11</v>
      </c>
      <c r="E248" s="126">
        <f>E249</f>
        <v>8142.599999999999</v>
      </c>
      <c r="F248" s="126">
        <f>F249</f>
        <v>8134.9</v>
      </c>
    </row>
    <row r="249" spans="1:6" ht="50.4">
      <c r="A249" s="127" t="s">
        <v>20</v>
      </c>
      <c r="B249" s="127" t="s">
        <v>81</v>
      </c>
      <c r="C249" s="196"/>
      <c r="D249" s="9" t="s">
        <v>79</v>
      </c>
      <c r="E249" s="126">
        <f>E256+E250</f>
        <v>8142.599999999999</v>
      </c>
      <c r="F249" s="126">
        <f>F256+F250</f>
        <v>8134.9</v>
      </c>
    </row>
    <row r="250" spans="1:6" ht="33.6">
      <c r="A250" s="127" t="s">
        <v>20</v>
      </c>
      <c r="B250" s="127" t="s">
        <v>82</v>
      </c>
      <c r="C250" s="196"/>
      <c r="D250" s="9" t="s">
        <v>80</v>
      </c>
      <c r="E250" s="126">
        <f>E251+E253</f>
        <v>3039</v>
      </c>
      <c r="F250" s="126">
        <f>F251+F253</f>
        <v>3031.3</v>
      </c>
    </row>
    <row r="251" spans="1:6" ht="33.6">
      <c r="A251" s="127" t="s">
        <v>20</v>
      </c>
      <c r="B251" s="127" t="s">
        <v>389</v>
      </c>
      <c r="C251" s="197"/>
      <c r="D251" s="56" t="s">
        <v>390</v>
      </c>
      <c r="E251" s="126">
        <f aca="true" t="shared" si="14" ref="E251:F251">E252</f>
        <v>148.2</v>
      </c>
      <c r="F251" s="126">
        <f t="shared" si="14"/>
        <v>148.2</v>
      </c>
    </row>
    <row r="252" spans="1:6" ht="12.75">
      <c r="A252" s="127" t="s">
        <v>20</v>
      </c>
      <c r="B252" s="127" t="s">
        <v>389</v>
      </c>
      <c r="C252" s="197" t="s">
        <v>61</v>
      </c>
      <c r="D252" s="9" t="s">
        <v>62</v>
      </c>
      <c r="E252" s="126">
        <f>'№8 ведом.'!F428</f>
        <v>148.2</v>
      </c>
      <c r="F252" s="126">
        <f>'№8 ведом.'!G428</f>
        <v>148.2</v>
      </c>
    </row>
    <row r="253" spans="1:6" ht="33.6">
      <c r="A253" s="127" t="s">
        <v>20</v>
      </c>
      <c r="B253" s="127" t="s">
        <v>406</v>
      </c>
      <c r="C253" s="197"/>
      <c r="D253" s="9" t="s">
        <v>407</v>
      </c>
      <c r="E253" s="126">
        <f>E254+E255</f>
        <v>2890.8</v>
      </c>
      <c r="F253" s="126">
        <f>F254+F255</f>
        <v>2883.1000000000004</v>
      </c>
    </row>
    <row r="254" spans="1:6" ht="12.75">
      <c r="A254" s="127" t="s">
        <v>20</v>
      </c>
      <c r="B254" s="127" t="s">
        <v>406</v>
      </c>
      <c r="C254" s="197">
        <v>300</v>
      </c>
      <c r="D254" s="9" t="s">
        <v>62</v>
      </c>
      <c r="E254" s="126">
        <f>'№8 ведом.'!F430</f>
        <v>61.099999999999994</v>
      </c>
      <c r="F254" s="126">
        <f>'№8 ведом.'!G430</f>
        <v>53.4</v>
      </c>
    </row>
    <row r="255" spans="1:6" ht="33.6">
      <c r="A255" s="127" t="s">
        <v>20</v>
      </c>
      <c r="B255" s="127" t="s">
        <v>406</v>
      </c>
      <c r="C255" s="197">
        <v>600</v>
      </c>
      <c r="D255" s="56" t="s">
        <v>87</v>
      </c>
      <c r="E255" s="126">
        <f>'№8 ведом.'!F431+'№8 ведом.'!F316</f>
        <v>2829.7000000000003</v>
      </c>
      <c r="F255" s="126">
        <f>'№8 ведом.'!G431+'№8 ведом.'!G316</f>
        <v>2829.7000000000003</v>
      </c>
    </row>
    <row r="256" spans="1:6" ht="50.4">
      <c r="A256" s="127" t="s">
        <v>20</v>
      </c>
      <c r="B256" s="127" t="s">
        <v>124</v>
      </c>
      <c r="C256" s="196"/>
      <c r="D256" s="9" t="s">
        <v>125</v>
      </c>
      <c r="E256" s="126">
        <f>E257+E259+E261+E265+E267+E269+E271+E273+E263</f>
        <v>5103.599999999999</v>
      </c>
      <c r="F256" s="126">
        <f>F257+F259+F261+F265+F267+F269+F271+F273+F263</f>
        <v>5103.599999999999</v>
      </c>
    </row>
    <row r="257" spans="1:6" ht="33.6">
      <c r="A257" s="127" t="s">
        <v>20</v>
      </c>
      <c r="B257" s="8" t="s">
        <v>126</v>
      </c>
      <c r="C257" s="8"/>
      <c r="D257" s="56" t="s">
        <v>127</v>
      </c>
      <c r="E257" s="126">
        <f>E258</f>
        <v>40.2</v>
      </c>
      <c r="F257" s="126">
        <f>F258</f>
        <v>40.2</v>
      </c>
    </row>
    <row r="258" spans="1:6" ht="12.75">
      <c r="A258" s="127" t="s">
        <v>20</v>
      </c>
      <c r="B258" s="8" t="s">
        <v>126</v>
      </c>
      <c r="C258" s="197" t="s">
        <v>61</v>
      </c>
      <c r="D258" s="9" t="s">
        <v>62</v>
      </c>
      <c r="E258" s="126">
        <f>'№8 ведом.'!F319</f>
        <v>40.2</v>
      </c>
      <c r="F258" s="126">
        <f>'№8 ведом.'!G319</f>
        <v>40.2</v>
      </c>
    </row>
    <row r="259" spans="1:6" ht="33.6">
      <c r="A259" s="127" t="s">
        <v>20</v>
      </c>
      <c r="B259" s="8" t="s">
        <v>128</v>
      </c>
      <c r="C259" s="8"/>
      <c r="D259" s="56" t="s">
        <v>129</v>
      </c>
      <c r="E259" s="126">
        <f>E260</f>
        <v>13</v>
      </c>
      <c r="F259" s="126">
        <f>F260</f>
        <v>13</v>
      </c>
    </row>
    <row r="260" spans="1:6" ht="33.6">
      <c r="A260" s="127" t="s">
        <v>20</v>
      </c>
      <c r="B260" s="8" t="s">
        <v>128</v>
      </c>
      <c r="C260" s="67" t="s">
        <v>56</v>
      </c>
      <c r="D260" s="9" t="s">
        <v>57</v>
      </c>
      <c r="E260" s="126">
        <f>'№8 ведом.'!F320</f>
        <v>13</v>
      </c>
      <c r="F260" s="126">
        <f>'№8 ведом.'!G320</f>
        <v>13</v>
      </c>
    </row>
    <row r="261" spans="1:6" ht="33.6">
      <c r="A261" s="127" t="s">
        <v>20</v>
      </c>
      <c r="B261" s="8" t="s">
        <v>130</v>
      </c>
      <c r="C261" s="8"/>
      <c r="D261" s="56" t="s">
        <v>131</v>
      </c>
      <c r="E261" s="126">
        <f>E262</f>
        <v>33.5</v>
      </c>
      <c r="F261" s="126">
        <f>F262</f>
        <v>33.5</v>
      </c>
    </row>
    <row r="262" spans="1:6" ht="33.6">
      <c r="A262" s="127" t="s">
        <v>20</v>
      </c>
      <c r="B262" s="8" t="s">
        <v>130</v>
      </c>
      <c r="C262" s="67" t="s">
        <v>56</v>
      </c>
      <c r="D262" s="9" t="s">
        <v>57</v>
      </c>
      <c r="E262" s="126">
        <f>'№8 ведом.'!F323</f>
        <v>33.5</v>
      </c>
      <c r="F262" s="126">
        <f>'№8 ведом.'!G323</f>
        <v>33.5</v>
      </c>
    </row>
    <row r="263" spans="1:6" ht="33.6">
      <c r="A263" s="127" t="s">
        <v>20</v>
      </c>
      <c r="B263" s="8" t="s">
        <v>497</v>
      </c>
      <c r="C263" s="8"/>
      <c r="D263" s="56" t="s">
        <v>498</v>
      </c>
      <c r="E263" s="126">
        <f>E264</f>
        <v>27.9</v>
      </c>
      <c r="F263" s="126">
        <f>F264</f>
        <v>27.9</v>
      </c>
    </row>
    <row r="264" spans="1:6" ht="33.6">
      <c r="A264" s="127" t="s">
        <v>20</v>
      </c>
      <c r="B264" s="8" t="s">
        <v>497</v>
      </c>
      <c r="C264" s="67" t="s">
        <v>56</v>
      </c>
      <c r="D264" s="9" t="s">
        <v>57</v>
      </c>
      <c r="E264" s="126">
        <f>'№8 ведом.'!F325</f>
        <v>27.9</v>
      </c>
      <c r="F264" s="126">
        <f>'№8 ведом.'!G325</f>
        <v>27.9</v>
      </c>
    </row>
    <row r="265" spans="1:6" ht="33.6">
      <c r="A265" s="127" t="s">
        <v>20</v>
      </c>
      <c r="B265" s="8" t="s">
        <v>137</v>
      </c>
      <c r="C265" s="8"/>
      <c r="D265" s="56" t="s">
        <v>132</v>
      </c>
      <c r="E265" s="126">
        <f>E266</f>
        <v>4508.1</v>
      </c>
      <c r="F265" s="126">
        <f>F266</f>
        <v>4508.1</v>
      </c>
    </row>
    <row r="266" spans="1:6" ht="33.6">
      <c r="A266" s="127" t="s">
        <v>20</v>
      </c>
      <c r="B266" s="8" t="s">
        <v>137</v>
      </c>
      <c r="C266" s="197">
        <v>600</v>
      </c>
      <c r="D266" s="9" t="s">
        <v>87</v>
      </c>
      <c r="E266" s="126">
        <f>'№8 ведом.'!F327</f>
        <v>4508.1</v>
      </c>
      <c r="F266" s="126">
        <f>'№8 ведом.'!G327</f>
        <v>4508.1</v>
      </c>
    </row>
    <row r="267" spans="1:6" ht="33.6">
      <c r="A267" s="127" t="s">
        <v>20</v>
      </c>
      <c r="B267" s="8" t="s">
        <v>138</v>
      </c>
      <c r="C267" s="8"/>
      <c r="D267" s="56" t="s">
        <v>133</v>
      </c>
      <c r="E267" s="126">
        <f>E268</f>
        <v>230.9</v>
      </c>
      <c r="F267" s="126">
        <f>F268</f>
        <v>230.9</v>
      </c>
    </row>
    <row r="268" spans="1:6" ht="33.6">
      <c r="A268" s="127" t="s">
        <v>20</v>
      </c>
      <c r="B268" s="8" t="s">
        <v>138</v>
      </c>
      <c r="C268" s="197">
        <v>600</v>
      </c>
      <c r="D268" s="9" t="s">
        <v>87</v>
      </c>
      <c r="E268" s="126">
        <f>'№8 ведом.'!F329</f>
        <v>230.9</v>
      </c>
      <c r="F268" s="126">
        <f>'№8 ведом.'!G329</f>
        <v>230.9</v>
      </c>
    </row>
    <row r="269" spans="1:6" ht="12.75">
      <c r="A269" s="127" t="s">
        <v>20</v>
      </c>
      <c r="B269" s="8" t="s">
        <v>139</v>
      </c>
      <c r="C269" s="8"/>
      <c r="D269" s="56" t="s">
        <v>134</v>
      </c>
      <c r="E269" s="126">
        <f>E270</f>
        <v>56</v>
      </c>
      <c r="F269" s="126">
        <f>F270</f>
        <v>56</v>
      </c>
    </row>
    <row r="270" spans="1:6" ht="33.6">
      <c r="A270" s="127" t="s">
        <v>20</v>
      </c>
      <c r="B270" s="8" t="s">
        <v>139</v>
      </c>
      <c r="C270" s="197">
        <v>600</v>
      </c>
      <c r="D270" s="9" t="s">
        <v>87</v>
      </c>
      <c r="E270" s="126">
        <f>'№8 ведом.'!F331</f>
        <v>56</v>
      </c>
      <c r="F270" s="126">
        <f>'№8 ведом.'!G331</f>
        <v>56</v>
      </c>
    </row>
    <row r="271" spans="1:6" ht="33.6">
      <c r="A271" s="127" t="s">
        <v>20</v>
      </c>
      <c r="B271" s="8" t="s">
        <v>140</v>
      </c>
      <c r="C271" s="8"/>
      <c r="D271" s="56" t="s">
        <v>135</v>
      </c>
      <c r="E271" s="126">
        <f>E272</f>
        <v>35</v>
      </c>
      <c r="F271" s="126">
        <f>F272</f>
        <v>35</v>
      </c>
    </row>
    <row r="272" spans="1:6" ht="33.6">
      <c r="A272" s="127" t="s">
        <v>20</v>
      </c>
      <c r="B272" s="8" t="s">
        <v>140</v>
      </c>
      <c r="C272" s="197">
        <v>600</v>
      </c>
      <c r="D272" s="9" t="s">
        <v>87</v>
      </c>
      <c r="E272" s="126">
        <f>'№8 ведом.'!F333</f>
        <v>35</v>
      </c>
      <c r="F272" s="126">
        <f>'№8 ведом.'!G333</f>
        <v>35</v>
      </c>
    </row>
    <row r="273" spans="1:6" ht="50.4">
      <c r="A273" s="127" t="s">
        <v>20</v>
      </c>
      <c r="B273" s="8" t="s">
        <v>141</v>
      </c>
      <c r="C273" s="8"/>
      <c r="D273" s="56" t="s">
        <v>136</v>
      </c>
      <c r="E273" s="126">
        <f>E274</f>
        <v>159</v>
      </c>
      <c r="F273" s="126">
        <f>F274</f>
        <v>159</v>
      </c>
    </row>
    <row r="274" spans="1:6" ht="33.6">
      <c r="A274" s="127" t="s">
        <v>20</v>
      </c>
      <c r="B274" s="8" t="s">
        <v>141</v>
      </c>
      <c r="C274" s="197">
        <v>600</v>
      </c>
      <c r="D274" s="9" t="s">
        <v>87</v>
      </c>
      <c r="E274" s="126">
        <f>'№8 ведом.'!F335</f>
        <v>159</v>
      </c>
      <c r="F274" s="126">
        <f>'№8 ведом.'!G335</f>
        <v>159</v>
      </c>
    </row>
    <row r="275" spans="1:6" ht="12.75">
      <c r="A275" s="127" t="s">
        <v>35</v>
      </c>
      <c r="B275" s="127"/>
      <c r="C275" s="196"/>
      <c r="D275" s="9" t="s">
        <v>376</v>
      </c>
      <c r="E275" s="126">
        <f aca="true" t="shared" si="15" ref="E275:F276">E276</f>
        <v>15510.4</v>
      </c>
      <c r="F275" s="126">
        <f t="shared" si="15"/>
        <v>15488.599999999999</v>
      </c>
    </row>
    <row r="276" spans="1:6" ht="50.4">
      <c r="A276" s="127" t="s">
        <v>35</v>
      </c>
      <c r="B276" s="127" t="s">
        <v>81</v>
      </c>
      <c r="C276" s="196"/>
      <c r="D276" s="9" t="s">
        <v>79</v>
      </c>
      <c r="E276" s="126">
        <f t="shared" si="15"/>
        <v>15510.4</v>
      </c>
      <c r="F276" s="126">
        <f t="shared" si="15"/>
        <v>15488.599999999999</v>
      </c>
    </row>
    <row r="277" spans="1:6" ht="12.75">
      <c r="A277" s="127" t="s">
        <v>35</v>
      </c>
      <c r="B277" s="8" t="s">
        <v>102</v>
      </c>
      <c r="C277" s="8"/>
      <c r="D277" s="56" t="s">
        <v>343</v>
      </c>
      <c r="E277" s="126">
        <f>E278+E281+E285</f>
        <v>15510.4</v>
      </c>
      <c r="F277" s="126">
        <f>F278+F281+F285</f>
        <v>15488.599999999999</v>
      </c>
    </row>
    <row r="278" spans="1:6" ht="67.2">
      <c r="A278" s="127" t="s">
        <v>35</v>
      </c>
      <c r="B278" s="8" t="s">
        <v>103</v>
      </c>
      <c r="C278" s="8"/>
      <c r="D278" s="23" t="s">
        <v>63</v>
      </c>
      <c r="E278" s="126">
        <f>E279+E280</f>
        <v>2041.1000000000004</v>
      </c>
      <c r="F278" s="126">
        <f>F279+F280</f>
        <v>2041.1000000000001</v>
      </c>
    </row>
    <row r="279" spans="1:6" ht="84">
      <c r="A279" s="127" t="s">
        <v>35</v>
      </c>
      <c r="B279" s="8" t="s">
        <v>103</v>
      </c>
      <c r="C279" s="67" t="s">
        <v>55</v>
      </c>
      <c r="D279" s="9" t="s">
        <v>346</v>
      </c>
      <c r="E279" s="126">
        <f>'№8 ведом.'!F436</f>
        <v>1984.2000000000003</v>
      </c>
      <c r="F279" s="126">
        <f>'№8 ведом.'!G436</f>
        <v>1984.2</v>
      </c>
    </row>
    <row r="280" spans="1:6" ht="33.6">
      <c r="A280" s="127" t="s">
        <v>35</v>
      </c>
      <c r="B280" s="8" t="s">
        <v>103</v>
      </c>
      <c r="C280" s="67" t="s">
        <v>56</v>
      </c>
      <c r="D280" s="9" t="s">
        <v>57</v>
      </c>
      <c r="E280" s="126">
        <f>'№8 ведом.'!F437</f>
        <v>56.9</v>
      </c>
      <c r="F280" s="126">
        <f>'№8 ведом.'!G437</f>
        <v>56.9</v>
      </c>
    </row>
    <row r="281" spans="1:6" ht="50.4">
      <c r="A281" s="127" t="s">
        <v>35</v>
      </c>
      <c r="B281" s="8" t="s">
        <v>104</v>
      </c>
      <c r="C281" s="8"/>
      <c r="D281" s="23" t="s">
        <v>197</v>
      </c>
      <c r="E281" s="126">
        <f>E282+E283+E284</f>
        <v>8601.9</v>
      </c>
      <c r="F281" s="126">
        <f>F282+F283+F284</f>
        <v>8581.099999999999</v>
      </c>
    </row>
    <row r="282" spans="1:6" ht="84">
      <c r="A282" s="127" t="s">
        <v>35</v>
      </c>
      <c r="B282" s="8" t="s">
        <v>104</v>
      </c>
      <c r="C282" s="67" t="s">
        <v>55</v>
      </c>
      <c r="D282" s="9" t="s">
        <v>346</v>
      </c>
      <c r="E282" s="126">
        <f>'№8 ведом.'!F439</f>
        <v>6685.2</v>
      </c>
      <c r="F282" s="126">
        <f>'№8 ведом.'!G439</f>
        <v>6684.8</v>
      </c>
    </row>
    <row r="283" spans="1:6" ht="33.6">
      <c r="A283" s="127" t="s">
        <v>35</v>
      </c>
      <c r="B283" s="8" t="s">
        <v>104</v>
      </c>
      <c r="C283" s="67" t="s">
        <v>56</v>
      </c>
      <c r="D283" s="9" t="s">
        <v>57</v>
      </c>
      <c r="E283" s="126">
        <f>'№8 ведом.'!F440</f>
        <v>1697.8999999999999</v>
      </c>
      <c r="F283" s="126">
        <f>'№8 ведом.'!G440</f>
        <v>1677.5</v>
      </c>
    </row>
    <row r="284" spans="1:6" ht="12.75">
      <c r="A284" s="127" t="s">
        <v>35</v>
      </c>
      <c r="B284" s="8" t="s">
        <v>104</v>
      </c>
      <c r="C284" s="67" t="s">
        <v>58</v>
      </c>
      <c r="D284" s="70" t="s">
        <v>59</v>
      </c>
      <c r="E284" s="126">
        <f>'№8 ведом.'!F441</f>
        <v>218.79999999999998</v>
      </c>
      <c r="F284" s="126">
        <f>'№8 ведом.'!G441</f>
        <v>218.8</v>
      </c>
    </row>
    <row r="285" spans="1:6" ht="50.4">
      <c r="A285" s="127" t="s">
        <v>35</v>
      </c>
      <c r="B285" s="8" t="s">
        <v>106</v>
      </c>
      <c r="C285" s="8"/>
      <c r="D285" s="23" t="s">
        <v>105</v>
      </c>
      <c r="E285" s="126">
        <f>E286+E287</f>
        <v>4867.4</v>
      </c>
      <c r="F285" s="126">
        <f>F286+F287</f>
        <v>4866.4</v>
      </c>
    </row>
    <row r="286" spans="1:6" ht="84">
      <c r="A286" s="127" t="s">
        <v>35</v>
      </c>
      <c r="B286" s="8" t="s">
        <v>106</v>
      </c>
      <c r="C286" s="67" t="s">
        <v>55</v>
      </c>
      <c r="D286" s="9" t="s">
        <v>346</v>
      </c>
      <c r="E286" s="126">
        <f>'№8 ведом.'!F443</f>
        <v>4113.4</v>
      </c>
      <c r="F286" s="126">
        <f>'№8 ведом.'!G443</f>
        <v>4112.4</v>
      </c>
    </row>
    <row r="287" spans="1:6" ht="33.6">
      <c r="A287" s="127" t="s">
        <v>35</v>
      </c>
      <c r="B287" s="8" t="s">
        <v>106</v>
      </c>
      <c r="C287" s="67" t="s">
        <v>56</v>
      </c>
      <c r="D287" s="9" t="s">
        <v>57</v>
      </c>
      <c r="E287" s="126">
        <f>'№8 ведом.'!F444</f>
        <v>754</v>
      </c>
      <c r="F287" s="126">
        <f>'№8 ведом.'!G444</f>
        <v>754</v>
      </c>
    </row>
    <row r="288" spans="1:6" s="36" customFormat="1" ht="12.75">
      <c r="A288" s="26" t="s">
        <v>23</v>
      </c>
      <c r="B288" s="26"/>
      <c r="C288" s="26"/>
      <c r="D288" s="27" t="s">
        <v>74</v>
      </c>
      <c r="E288" s="52">
        <f aca="true" t="shared" si="16" ref="E288:F288">E289</f>
        <v>33307.2</v>
      </c>
      <c r="F288" s="52">
        <f t="shared" si="16"/>
        <v>27461.399999999998</v>
      </c>
    </row>
    <row r="289" spans="1:6" ht="12.75">
      <c r="A289" s="25" t="s">
        <v>24</v>
      </c>
      <c r="B289" s="8"/>
      <c r="C289" s="67"/>
      <c r="D289" s="9" t="s">
        <v>377</v>
      </c>
      <c r="E289" s="126">
        <f>E290+E324</f>
        <v>33307.2</v>
      </c>
      <c r="F289" s="126">
        <f>F290+F324</f>
        <v>27461.399999999998</v>
      </c>
    </row>
    <row r="290" spans="1:6" ht="50.4">
      <c r="A290" s="25" t="s">
        <v>24</v>
      </c>
      <c r="B290" s="8" t="s">
        <v>179</v>
      </c>
      <c r="C290" s="8"/>
      <c r="D290" s="56" t="s">
        <v>180</v>
      </c>
      <c r="E290" s="126">
        <f>E291+E321</f>
        <v>33244</v>
      </c>
      <c r="F290" s="126">
        <f>F291+F321</f>
        <v>27398.199999999997</v>
      </c>
    </row>
    <row r="291" spans="1:6" ht="33.6">
      <c r="A291" s="25" t="s">
        <v>24</v>
      </c>
      <c r="B291" s="8" t="s">
        <v>181</v>
      </c>
      <c r="C291" s="8"/>
      <c r="D291" s="56" t="s">
        <v>182</v>
      </c>
      <c r="E291" s="126">
        <f>E292+E294+E296+E299+E303+E305+E309+E301+E313+E317+E319+E307+E315</f>
        <v>25653.999999999996</v>
      </c>
      <c r="F291" s="126">
        <f>F292+F294+F296+F299+F303+F305+F309+F301+F313+F317+F319+F307+F315</f>
        <v>25598.199999999997</v>
      </c>
    </row>
    <row r="292" spans="1:6" ht="33.6">
      <c r="A292" s="25" t="s">
        <v>24</v>
      </c>
      <c r="B292" s="8" t="s">
        <v>186</v>
      </c>
      <c r="C292" s="8"/>
      <c r="D292" s="56" t="s">
        <v>183</v>
      </c>
      <c r="E292" s="126">
        <f>E293</f>
        <v>9</v>
      </c>
      <c r="F292" s="126">
        <f>F293</f>
        <v>9</v>
      </c>
    </row>
    <row r="293" spans="1:6" ht="33.6">
      <c r="A293" s="25" t="s">
        <v>24</v>
      </c>
      <c r="B293" s="8" t="s">
        <v>186</v>
      </c>
      <c r="C293" s="67" t="s">
        <v>56</v>
      </c>
      <c r="D293" s="9" t="s">
        <v>57</v>
      </c>
      <c r="E293" s="126">
        <f>'№8 ведом.'!F151</f>
        <v>9</v>
      </c>
      <c r="F293" s="126">
        <f>'№8 ведом.'!G151</f>
        <v>9</v>
      </c>
    </row>
    <row r="294" spans="1:6" ht="33.6">
      <c r="A294" s="25" t="s">
        <v>24</v>
      </c>
      <c r="B294" s="8" t="s">
        <v>187</v>
      </c>
      <c r="C294" s="8"/>
      <c r="D294" s="56" t="s">
        <v>184</v>
      </c>
      <c r="E294" s="126">
        <f>E295</f>
        <v>45</v>
      </c>
      <c r="F294" s="126">
        <f>F295</f>
        <v>45</v>
      </c>
    </row>
    <row r="295" spans="1:6" ht="33.6">
      <c r="A295" s="25" t="s">
        <v>24</v>
      </c>
      <c r="B295" s="8" t="s">
        <v>187</v>
      </c>
      <c r="C295" s="67" t="s">
        <v>56</v>
      </c>
      <c r="D295" s="9" t="s">
        <v>57</v>
      </c>
      <c r="E295" s="126">
        <f>'№8 ведом.'!F153</f>
        <v>45</v>
      </c>
      <c r="F295" s="126">
        <f>'№8 ведом.'!G153</f>
        <v>45</v>
      </c>
    </row>
    <row r="296" spans="1:6" ht="33.6">
      <c r="A296" s="25" t="s">
        <v>24</v>
      </c>
      <c r="B296" s="8" t="s">
        <v>188</v>
      </c>
      <c r="C296" s="8"/>
      <c r="D296" s="56" t="s">
        <v>185</v>
      </c>
      <c r="E296" s="126">
        <f>E297+E298</f>
        <v>1036.8</v>
      </c>
      <c r="F296" s="126">
        <f>F297+F298</f>
        <v>1036.8</v>
      </c>
    </row>
    <row r="297" spans="1:6" ht="33.6">
      <c r="A297" s="25" t="s">
        <v>24</v>
      </c>
      <c r="B297" s="8" t="s">
        <v>188</v>
      </c>
      <c r="C297" s="67" t="s">
        <v>56</v>
      </c>
      <c r="D297" s="9" t="s">
        <v>57</v>
      </c>
      <c r="E297" s="126">
        <f>'№8 ведом.'!F155</f>
        <v>187.9</v>
      </c>
      <c r="F297" s="126">
        <f>'№8 ведом.'!G155</f>
        <v>187.9</v>
      </c>
    </row>
    <row r="298" spans="1:6" ht="33.6">
      <c r="A298" s="25" t="s">
        <v>24</v>
      </c>
      <c r="B298" s="8" t="s">
        <v>188</v>
      </c>
      <c r="C298" s="197">
        <v>600</v>
      </c>
      <c r="D298" s="9" t="s">
        <v>87</v>
      </c>
      <c r="E298" s="126">
        <f>'№8 ведом.'!F156</f>
        <v>848.9</v>
      </c>
      <c r="F298" s="126">
        <f>'№8 ведом.'!G156</f>
        <v>848.9</v>
      </c>
    </row>
    <row r="299" spans="1:6" ht="33.6">
      <c r="A299" s="25" t="s">
        <v>24</v>
      </c>
      <c r="B299" s="8" t="s">
        <v>189</v>
      </c>
      <c r="C299" s="8"/>
      <c r="D299" s="56" t="s">
        <v>190</v>
      </c>
      <c r="E299" s="126">
        <f>E300</f>
        <v>280</v>
      </c>
      <c r="F299" s="126">
        <f>F300</f>
        <v>279.9</v>
      </c>
    </row>
    <row r="300" spans="1:6" ht="33.6">
      <c r="A300" s="25" t="s">
        <v>24</v>
      </c>
      <c r="B300" s="8" t="s">
        <v>189</v>
      </c>
      <c r="C300" s="67" t="s">
        <v>56</v>
      </c>
      <c r="D300" s="9" t="s">
        <v>57</v>
      </c>
      <c r="E300" s="126">
        <f>'№8 ведом.'!F158</f>
        <v>280</v>
      </c>
      <c r="F300" s="126">
        <f>'№8 ведом.'!G158</f>
        <v>279.9</v>
      </c>
    </row>
    <row r="301" spans="1:6" ht="12.75">
      <c r="A301" s="25" t="s">
        <v>24</v>
      </c>
      <c r="B301" s="8" t="s">
        <v>330</v>
      </c>
      <c r="C301" s="8"/>
      <c r="D301" s="56" t="s">
        <v>331</v>
      </c>
      <c r="E301" s="126">
        <f>E302</f>
        <v>195</v>
      </c>
      <c r="F301" s="126">
        <f>F302</f>
        <v>195</v>
      </c>
    </row>
    <row r="302" spans="1:6" ht="33.6">
      <c r="A302" s="25" t="s">
        <v>24</v>
      </c>
      <c r="B302" s="8" t="s">
        <v>330</v>
      </c>
      <c r="C302" s="67" t="s">
        <v>56</v>
      </c>
      <c r="D302" s="9" t="s">
        <v>57</v>
      </c>
      <c r="E302" s="126">
        <f>'№8 ведом.'!F160</f>
        <v>195</v>
      </c>
      <c r="F302" s="126">
        <f>'№8 ведом.'!G160</f>
        <v>195</v>
      </c>
    </row>
    <row r="303" spans="1:6" ht="33.6">
      <c r="A303" s="25" t="s">
        <v>24</v>
      </c>
      <c r="B303" s="8" t="s">
        <v>192</v>
      </c>
      <c r="C303" s="8"/>
      <c r="D303" s="56" t="s">
        <v>191</v>
      </c>
      <c r="E303" s="126">
        <f>E304</f>
        <v>12974.1</v>
      </c>
      <c r="F303" s="126">
        <f>F304</f>
        <v>12923.9</v>
      </c>
    </row>
    <row r="304" spans="1:6" ht="33.6">
      <c r="A304" s="25" t="s">
        <v>24</v>
      </c>
      <c r="B304" s="8" t="s">
        <v>192</v>
      </c>
      <c r="C304" s="197">
        <v>600</v>
      </c>
      <c r="D304" s="9" t="s">
        <v>87</v>
      </c>
      <c r="E304" s="126">
        <f>'№8 ведом.'!F162</f>
        <v>12974.1</v>
      </c>
      <c r="F304" s="126">
        <f>'№8 ведом.'!G162</f>
        <v>12923.9</v>
      </c>
    </row>
    <row r="305" spans="1:6" ht="50.4">
      <c r="A305" s="25" t="s">
        <v>24</v>
      </c>
      <c r="B305" s="8" t="s">
        <v>194</v>
      </c>
      <c r="C305" s="8"/>
      <c r="D305" s="56" t="s">
        <v>193</v>
      </c>
      <c r="E305" s="126">
        <f>E306</f>
        <v>53</v>
      </c>
      <c r="F305" s="126">
        <f>F306</f>
        <v>52.7</v>
      </c>
    </row>
    <row r="306" spans="1:6" ht="33.6">
      <c r="A306" s="25" t="s">
        <v>24</v>
      </c>
      <c r="B306" s="8" t="s">
        <v>194</v>
      </c>
      <c r="C306" s="197">
        <v>600</v>
      </c>
      <c r="D306" s="9" t="s">
        <v>87</v>
      </c>
      <c r="E306" s="126">
        <f>'№8 ведом.'!F164</f>
        <v>53</v>
      </c>
      <c r="F306" s="126">
        <f>'№8 ведом.'!G164</f>
        <v>52.7</v>
      </c>
    </row>
    <row r="307" spans="1:6" ht="33.6">
      <c r="A307" s="25" t="s">
        <v>24</v>
      </c>
      <c r="B307" s="8" t="s">
        <v>502</v>
      </c>
      <c r="C307" s="8"/>
      <c r="D307" s="56" t="s">
        <v>501</v>
      </c>
      <c r="E307" s="126">
        <f>E308</f>
        <v>95.3</v>
      </c>
      <c r="F307" s="126">
        <f>F308</f>
        <v>95.3</v>
      </c>
    </row>
    <row r="308" spans="1:6" ht="33.6">
      <c r="A308" s="25" t="s">
        <v>24</v>
      </c>
      <c r="B308" s="8" t="s">
        <v>502</v>
      </c>
      <c r="C308" s="197">
        <v>600</v>
      </c>
      <c r="D308" s="9" t="s">
        <v>87</v>
      </c>
      <c r="E308" s="126">
        <f>'№8 ведом.'!F166</f>
        <v>95.3</v>
      </c>
      <c r="F308" s="126">
        <f>'№8 ведом.'!G166</f>
        <v>95.3</v>
      </c>
    </row>
    <row r="309" spans="1:6" ht="12.75">
      <c r="A309" s="25" t="s">
        <v>24</v>
      </c>
      <c r="B309" s="8" t="s">
        <v>195</v>
      </c>
      <c r="C309" s="8"/>
      <c r="D309" s="56" t="s">
        <v>196</v>
      </c>
      <c r="E309" s="126">
        <f>E310+E311+E312</f>
        <v>9855.5</v>
      </c>
      <c r="F309" s="126">
        <f>F310+F311+F312</f>
        <v>9850.699999999999</v>
      </c>
    </row>
    <row r="310" spans="1:6" ht="84">
      <c r="A310" s="25" t="s">
        <v>24</v>
      </c>
      <c r="B310" s="8" t="s">
        <v>195</v>
      </c>
      <c r="C310" s="8" t="s">
        <v>55</v>
      </c>
      <c r="D310" s="9" t="s">
        <v>346</v>
      </c>
      <c r="E310" s="126">
        <f>'№8 ведом.'!F168</f>
        <v>8509.7</v>
      </c>
      <c r="F310" s="126">
        <f>'№8 ведом.'!G168</f>
        <v>8506.8</v>
      </c>
    </row>
    <row r="311" spans="1:6" ht="33.6">
      <c r="A311" s="25" t="s">
        <v>24</v>
      </c>
      <c r="B311" s="8" t="s">
        <v>195</v>
      </c>
      <c r="C311" s="8" t="s">
        <v>56</v>
      </c>
      <c r="D311" s="9" t="s">
        <v>57</v>
      </c>
      <c r="E311" s="126">
        <f>'№8 ведом.'!F169</f>
        <v>1209.3</v>
      </c>
      <c r="F311" s="126">
        <f>'№8 ведом.'!G169</f>
        <v>1208.3</v>
      </c>
    </row>
    <row r="312" spans="1:6" ht="12.75">
      <c r="A312" s="25" t="s">
        <v>24</v>
      </c>
      <c r="B312" s="8" t="s">
        <v>195</v>
      </c>
      <c r="C312" s="8" t="s">
        <v>58</v>
      </c>
      <c r="D312" s="9" t="s">
        <v>59</v>
      </c>
      <c r="E312" s="126">
        <f>'№8 ведом.'!F170</f>
        <v>136.5</v>
      </c>
      <c r="F312" s="126">
        <f>'№8 ведом.'!G170</f>
        <v>135.6</v>
      </c>
    </row>
    <row r="313" spans="1:6" ht="33.6">
      <c r="A313" s="25" t="s">
        <v>24</v>
      </c>
      <c r="B313" s="8" t="s">
        <v>425</v>
      </c>
      <c r="C313" s="8"/>
      <c r="D313" s="9" t="s">
        <v>428</v>
      </c>
      <c r="E313" s="126">
        <f>E314</f>
        <v>643.6</v>
      </c>
      <c r="F313" s="126">
        <f>F314</f>
        <v>643.2</v>
      </c>
    </row>
    <row r="314" spans="1:6" ht="33.6">
      <c r="A314" s="25" t="s">
        <v>24</v>
      </c>
      <c r="B314" s="8" t="s">
        <v>425</v>
      </c>
      <c r="C314" s="8" t="s">
        <v>56</v>
      </c>
      <c r="D314" s="9" t="s">
        <v>57</v>
      </c>
      <c r="E314" s="126">
        <f>'№8 ведом.'!F172</f>
        <v>643.6</v>
      </c>
      <c r="F314" s="126">
        <f>'№8 ведом.'!G172</f>
        <v>643.2</v>
      </c>
    </row>
    <row r="315" spans="1:6" ht="84">
      <c r="A315" s="25" t="s">
        <v>24</v>
      </c>
      <c r="B315" s="8" t="s">
        <v>506</v>
      </c>
      <c r="C315" s="8"/>
      <c r="D315" s="9" t="s">
        <v>507</v>
      </c>
      <c r="E315" s="126">
        <f>E316</f>
        <v>254.5</v>
      </c>
      <c r="F315" s="126">
        <f>F316</f>
        <v>254.5</v>
      </c>
    </row>
    <row r="316" spans="1:6" ht="33.6">
      <c r="A316" s="25" t="s">
        <v>24</v>
      </c>
      <c r="B316" s="8" t="s">
        <v>506</v>
      </c>
      <c r="C316" s="197">
        <v>600</v>
      </c>
      <c r="D316" s="9" t="s">
        <v>87</v>
      </c>
      <c r="E316" s="126">
        <f>'№8 ведом.'!F174</f>
        <v>254.5</v>
      </c>
      <c r="F316" s="126">
        <f>'№8 ведом.'!G174</f>
        <v>254.5</v>
      </c>
    </row>
    <row r="317" spans="1:6" ht="50.4">
      <c r="A317" s="25" t="s">
        <v>24</v>
      </c>
      <c r="B317" s="8" t="s">
        <v>431</v>
      </c>
      <c r="C317" s="8"/>
      <c r="D317" s="9" t="s">
        <v>432</v>
      </c>
      <c r="E317" s="126">
        <f>E318</f>
        <v>45.1</v>
      </c>
      <c r="F317" s="126">
        <f>F318</f>
        <v>45.1</v>
      </c>
    </row>
    <row r="318" spans="1:6" ht="33.6">
      <c r="A318" s="25" t="s">
        <v>24</v>
      </c>
      <c r="B318" s="8" t="s">
        <v>431</v>
      </c>
      <c r="C318" s="8" t="s">
        <v>56</v>
      </c>
      <c r="D318" s="9" t="s">
        <v>57</v>
      </c>
      <c r="E318" s="126">
        <f>'№8 ведом.'!F176</f>
        <v>45.1</v>
      </c>
      <c r="F318" s="126">
        <f>'№8 ведом.'!G176</f>
        <v>45.1</v>
      </c>
    </row>
    <row r="319" spans="1:6" ht="50.4">
      <c r="A319" s="25" t="s">
        <v>24</v>
      </c>
      <c r="B319" s="8" t="s">
        <v>433</v>
      </c>
      <c r="C319" s="8"/>
      <c r="D319" s="9" t="s">
        <v>435</v>
      </c>
      <c r="E319" s="126">
        <f>E320</f>
        <v>167.1</v>
      </c>
      <c r="F319" s="126">
        <f>F320</f>
        <v>167.1</v>
      </c>
    </row>
    <row r="320" spans="1:6" ht="33.6">
      <c r="A320" s="25" t="s">
        <v>24</v>
      </c>
      <c r="B320" s="8" t="s">
        <v>433</v>
      </c>
      <c r="C320" s="8" t="s">
        <v>56</v>
      </c>
      <c r="D320" s="9" t="s">
        <v>57</v>
      </c>
      <c r="E320" s="126">
        <f>'№8 ведом.'!F178</f>
        <v>167.1</v>
      </c>
      <c r="F320" s="126">
        <f>'№8 ведом.'!G178</f>
        <v>167.1</v>
      </c>
    </row>
    <row r="321" spans="1:6" ht="33.6">
      <c r="A321" s="25" t="s">
        <v>24</v>
      </c>
      <c r="B321" s="8" t="s">
        <v>199</v>
      </c>
      <c r="C321" s="67"/>
      <c r="D321" s="9" t="s">
        <v>198</v>
      </c>
      <c r="E321" s="126">
        <f aca="true" t="shared" si="17" ref="E321:F322">E322</f>
        <v>7590</v>
      </c>
      <c r="F321" s="126">
        <f t="shared" si="17"/>
        <v>1800</v>
      </c>
    </row>
    <row r="322" spans="1:6" ht="33.6">
      <c r="A322" s="25" t="s">
        <v>24</v>
      </c>
      <c r="B322" s="8" t="s">
        <v>77</v>
      </c>
      <c r="C322" s="67"/>
      <c r="D322" s="9" t="s">
        <v>312</v>
      </c>
      <c r="E322" s="126">
        <f t="shared" si="17"/>
        <v>7590</v>
      </c>
      <c r="F322" s="126">
        <f t="shared" si="17"/>
        <v>1800</v>
      </c>
    </row>
    <row r="323" spans="1:6" ht="33.6">
      <c r="A323" s="25" t="s">
        <v>24</v>
      </c>
      <c r="B323" s="8" t="s">
        <v>77</v>
      </c>
      <c r="C323" s="25" t="s">
        <v>60</v>
      </c>
      <c r="D323" s="9" t="s">
        <v>200</v>
      </c>
      <c r="E323" s="126">
        <f>'№8 ведом.'!F181</f>
        <v>7590</v>
      </c>
      <c r="F323" s="126">
        <f>'№8 ведом.'!G181</f>
        <v>1800</v>
      </c>
    </row>
    <row r="324" spans="1:6" ht="33.6">
      <c r="A324" s="25" t="s">
        <v>24</v>
      </c>
      <c r="B324" s="8" t="s">
        <v>297</v>
      </c>
      <c r="C324" s="25"/>
      <c r="D324" s="9" t="s">
        <v>294</v>
      </c>
      <c r="E324" s="126">
        <f>E325</f>
        <v>63.2</v>
      </c>
      <c r="F324" s="126">
        <f>F325</f>
        <v>63.2</v>
      </c>
    </row>
    <row r="325" spans="1:6" ht="50.4">
      <c r="A325" s="25" t="s">
        <v>24</v>
      </c>
      <c r="B325" s="9">
        <v>9977888</v>
      </c>
      <c r="C325" s="197"/>
      <c r="D325" s="9" t="s">
        <v>429</v>
      </c>
      <c r="E325" s="126">
        <f>E326</f>
        <v>63.2</v>
      </c>
      <c r="F325" s="126">
        <f>F326</f>
        <v>63.2</v>
      </c>
    </row>
    <row r="326" spans="1:6" ht="33.6">
      <c r="A326" s="25" t="s">
        <v>24</v>
      </c>
      <c r="B326" s="9">
        <v>9977888</v>
      </c>
      <c r="C326" s="25" t="s">
        <v>56</v>
      </c>
      <c r="D326" s="9" t="s">
        <v>57</v>
      </c>
      <c r="E326" s="126">
        <f>'№8 ведом.'!F184</f>
        <v>63.2</v>
      </c>
      <c r="F326" s="126">
        <f>'№8 ведом.'!G184</f>
        <v>63.2</v>
      </c>
    </row>
    <row r="327" spans="1:6" s="36" customFormat="1" ht="12.75">
      <c r="A327" s="26" t="s">
        <v>21</v>
      </c>
      <c r="B327" s="26"/>
      <c r="C327" s="26"/>
      <c r="D327" s="27" t="s">
        <v>13</v>
      </c>
      <c r="E327" s="52">
        <f>E328+E333+E363</f>
        <v>23671.7</v>
      </c>
      <c r="F327" s="52">
        <f>F328+F333+F363</f>
        <v>22086.8</v>
      </c>
    </row>
    <row r="328" spans="1:6" ht="12.75">
      <c r="A328" s="197">
        <v>1001</v>
      </c>
      <c r="B328" s="127"/>
      <c r="C328" s="196"/>
      <c r="D328" s="9" t="s">
        <v>14</v>
      </c>
      <c r="E328" s="126">
        <f aca="true" t="shared" si="18" ref="E328:F331">E329</f>
        <v>1669.2</v>
      </c>
      <c r="F328" s="126">
        <f t="shared" si="18"/>
        <v>1669.2</v>
      </c>
    </row>
    <row r="329" spans="1:6" ht="50.4">
      <c r="A329" s="127" t="s">
        <v>36</v>
      </c>
      <c r="B329" s="8" t="s">
        <v>342</v>
      </c>
      <c r="C329" s="25"/>
      <c r="D329" s="23" t="s">
        <v>322</v>
      </c>
      <c r="E329" s="126">
        <f t="shared" si="18"/>
        <v>1669.2</v>
      </c>
      <c r="F329" s="126">
        <f t="shared" si="18"/>
        <v>1669.2</v>
      </c>
    </row>
    <row r="330" spans="1:6" ht="33.6">
      <c r="A330" s="127" t="s">
        <v>36</v>
      </c>
      <c r="B330" s="8" t="s">
        <v>201</v>
      </c>
      <c r="C330" s="25"/>
      <c r="D330" s="9" t="s">
        <v>202</v>
      </c>
      <c r="E330" s="126">
        <f t="shared" si="18"/>
        <v>1669.2</v>
      </c>
      <c r="F330" s="126">
        <f t="shared" si="18"/>
        <v>1669.2</v>
      </c>
    </row>
    <row r="331" spans="1:6" ht="67.2">
      <c r="A331" s="127" t="s">
        <v>36</v>
      </c>
      <c r="B331" s="8" t="s">
        <v>203</v>
      </c>
      <c r="C331" s="25"/>
      <c r="D331" s="9" t="s">
        <v>54</v>
      </c>
      <c r="E331" s="126">
        <f t="shared" si="18"/>
        <v>1669.2</v>
      </c>
      <c r="F331" s="126">
        <f t="shared" si="18"/>
        <v>1669.2</v>
      </c>
    </row>
    <row r="332" spans="1:6" ht="12.75">
      <c r="A332" s="127" t="s">
        <v>36</v>
      </c>
      <c r="B332" s="8" t="s">
        <v>203</v>
      </c>
      <c r="C332" s="197" t="s">
        <v>61</v>
      </c>
      <c r="D332" s="9" t="s">
        <v>62</v>
      </c>
      <c r="E332" s="126">
        <f>'№8 ведом.'!F190</f>
        <v>1669.2</v>
      </c>
      <c r="F332" s="126">
        <f>'№8 ведом.'!G190</f>
        <v>1669.2</v>
      </c>
    </row>
    <row r="333" spans="1:6" ht="12.75">
      <c r="A333" s="127" t="s">
        <v>22</v>
      </c>
      <c r="B333" s="127"/>
      <c r="C333" s="196"/>
      <c r="D333" s="9" t="s">
        <v>16</v>
      </c>
      <c r="E333" s="126">
        <f>E334+E340+E348</f>
        <v>7826.900000000001</v>
      </c>
      <c r="F333" s="126">
        <f>F334+F340+F348</f>
        <v>6557.599999999999</v>
      </c>
    </row>
    <row r="334" spans="1:6" ht="50.4">
      <c r="A334" s="127" t="s">
        <v>22</v>
      </c>
      <c r="B334" s="127" t="s">
        <v>81</v>
      </c>
      <c r="C334" s="196"/>
      <c r="D334" s="9" t="s">
        <v>79</v>
      </c>
      <c r="E334" s="126">
        <f>E335</f>
        <v>461.8</v>
      </c>
      <c r="F334" s="126">
        <f>F335</f>
        <v>391.9</v>
      </c>
    </row>
    <row r="335" spans="1:6" ht="33.6">
      <c r="A335" s="127" t="s">
        <v>22</v>
      </c>
      <c r="B335" s="127" t="s">
        <v>82</v>
      </c>
      <c r="C335" s="196"/>
      <c r="D335" s="9" t="s">
        <v>80</v>
      </c>
      <c r="E335" s="126">
        <f>E336+E338</f>
        <v>461.8</v>
      </c>
      <c r="F335" s="126">
        <f>F336+F338</f>
        <v>391.9</v>
      </c>
    </row>
    <row r="336" spans="1:6" ht="84">
      <c r="A336" s="127" t="s">
        <v>22</v>
      </c>
      <c r="B336" s="8" t="s">
        <v>321</v>
      </c>
      <c r="C336" s="8"/>
      <c r="D336" s="56" t="s">
        <v>107</v>
      </c>
      <c r="E336" s="126">
        <f>E337</f>
        <v>265.8</v>
      </c>
      <c r="F336" s="126">
        <f>F337</f>
        <v>195.9</v>
      </c>
    </row>
    <row r="337" spans="1:6" ht="12.75">
      <c r="A337" s="197">
        <v>1003</v>
      </c>
      <c r="B337" s="8" t="s">
        <v>321</v>
      </c>
      <c r="C337" s="196" t="s">
        <v>61</v>
      </c>
      <c r="D337" s="9" t="s">
        <v>62</v>
      </c>
      <c r="E337" s="126">
        <f>'№8 ведом.'!F450</f>
        <v>265.8</v>
      </c>
      <c r="F337" s="126">
        <f>'№8 ведом.'!G450</f>
        <v>195.9</v>
      </c>
    </row>
    <row r="338" spans="1:6" ht="151.2">
      <c r="A338" s="127" t="s">
        <v>22</v>
      </c>
      <c r="B338" s="8" t="s">
        <v>391</v>
      </c>
      <c r="C338" s="196"/>
      <c r="D338" s="56" t="s">
        <v>392</v>
      </c>
      <c r="E338" s="126">
        <f>E339</f>
        <v>196</v>
      </c>
      <c r="F338" s="126">
        <f>F339</f>
        <v>196</v>
      </c>
    </row>
    <row r="339" spans="1:6" ht="12.75">
      <c r="A339" s="197">
        <v>1003</v>
      </c>
      <c r="B339" s="8" t="s">
        <v>391</v>
      </c>
      <c r="C339" s="196" t="s">
        <v>61</v>
      </c>
      <c r="D339" s="9" t="s">
        <v>62</v>
      </c>
      <c r="E339" s="126">
        <f>'№8 ведом.'!F452</f>
        <v>196</v>
      </c>
      <c r="F339" s="126">
        <f>'№8 ведом.'!G452</f>
        <v>196</v>
      </c>
    </row>
    <row r="340" spans="1:6" ht="67.2">
      <c r="A340" s="127" t="s">
        <v>22</v>
      </c>
      <c r="B340" s="8" t="s">
        <v>175</v>
      </c>
      <c r="C340" s="197"/>
      <c r="D340" s="9" t="s">
        <v>173</v>
      </c>
      <c r="E340" s="126">
        <f>E341</f>
        <v>6287.1</v>
      </c>
      <c r="F340" s="126">
        <f>F341</f>
        <v>5088.2</v>
      </c>
    </row>
    <row r="341" spans="1:6" ht="33.6">
      <c r="A341" s="127" t="s">
        <v>22</v>
      </c>
      <c r="B341" s="8" t="s">
        <v>259</v>
      </c>
      <c r="C341" s="197"/>
      <c r="D341" s="9" t="s">
        <v>258</v>
      </c>
      <c r="E341" s="126">
        <f>E342+E344+E346</f>
        <v>6287.1</v>
      </c>
      <c r="F341" s="126">
        <f>F342+F344+F346</f>
        <v>5088.2</v>
      </c>
    </row>
    <row r="342" spans="1:6" ht="33.6">
      <c r="A342" s="127" t="s">
        <v>22</v>
      </c>
      <c r="B342" s="8" t="s">
        <v>260</v>
      </c>
      <c r="C342" s="197"/>
      <c r="D342" s="9" t="s">
        <v>261</v>
      </c>
      <c r="E342" s="126">
        <f>E343</f>
        <v>3480.4</v>
      </c>
      <c r="F342" s="126">
        <f>F343</f>
        <v>2701.9</v>
      </c>
    </row>
    <row r="343" spans="1:6" ht="12.75">
      <c r="A343" s="127" t="s">
        <v>22</v>
      </c>
      <c r="B343" s="8" t="s">
        <v>260</v>
      </c>
      <c r="C343" s="197" t="s">
        <v>61</v>
      </c>
      <c r="D343" s="9" t="s">
        <v>62</v>
      </c>
      <c r="E343" s="126">
        <f>'№8 ведом.'!F341</f>
        <v>3480.4</v>
      </c>
      <c r="F343" s="126">
        <f>'№8 ведом.'!G341</f>
        <v>2701.9</v>
      </c>
    </row>
    <row r="344" spans="1:6" ht="50.4">
      <c r="A344" s="127" t="s">
        <v>22</v>
      </c>
      <c r="B344" s="8" t="s">
        <v>393</v>
      </c>
      <c r="C344" s="197"/>
      <c r="D344" s="9" t="s">
        <v>394</v>
      </c>
      <c r="E344" s="126">
        <f>E345</f>
        <v>1189.6000000000001</v>
      </c>
      <c r="F344" s="126">
        <f>F345</f>
        <v>1087.3</v>
      </c>
    </row>
    <row r="345" spans="1:6" ht="12.75">
      <c r="A345" s="127" t="s">
        <v>22</v>
      </c>
      <c r="B345" s="8" t="s">
        <v>393</v>
      </c>
      <c r="C345" s="197" t="s">
        <v>61</v>
      </c>
      <c r="D345" s="9" t="s">
        <v>62</v>
      </c>
      <c r="E345" s="126">
        <f>'№8 ведом.'!F343</f>
        <v>1189.6000000000001</v>
      </c>
      <c r="F345" s="126">
        <f>'№8 ведом.'!G343</f>
        <v>1087.3</v>
      </c>
    </row>
    <row r="346" spans="1:6" ht="50.4">
      <c r="A346" s="127" t="s">
        <v>22</v>
      </c>
      <c r="B346" s="8" t="s">
        <v>411</v>
      </c>
      <c r="C346" s="197"/>
      <c r="D346" s="9" t="s">
        <v>412</v>
      </c>
      <c r="E346" s="126">
        <f>E347</f>
        <v>1617.1</v>
      </c>
      <c r="F346" s="126">
        <f>F347</f>
        <v>1299</v>
      </c>
    </row>
    <row r="347" spans="1:6" ht="12.75">
      <c r="A347" s="127" t="s">
        <v>22</v>
      </c>
      <c r="B347" s="8" t="s">
        <v>411</v>
      </c>
      <c r="C347" s="197" t="s">
        <v>61</v>
      </c>
      <c r="D347" s="9" t="s">
        <v>62</v>
      </c>
      <c r="E347" s="126">
        <f>'№8 ведом.'!F345</f>
        <v>1617.1</v>
      </c>
      <c r="F347" s="126">
        <f>'№8 ведом.'!G345</f>
        <v>1299</v>
      </c>
    </row>
    <row r="348" spans="1:6" ht="50.4">
      <c r="A348" s="127" t="s">
        <v>22</v>
      </c>
      <c r="B348" s="8" t="s">
        <v>342</v>
      </c>
      <c r="C348" s="25"/>
      <c r="D348" s="23" t="s">
        <v>322</v>
      </c>
      <c r="E348" s="126">
        <f>E349+E352</f>
        <v>1078</v>
      </c>
      <c r="F348" s="126">
        <f>F349+F352</f>
        <v>1077.5</v>
      </c>
    </row>
    <row r="349" spans="1:6" ht="67.2">
      <c r="A349" s="127" t="s">
        <v>22</v>
      </c>
      <c r="B349" s="127" t="s">
        <v>214</v>
      </c>
      <c r="C349" s="196"/>
      <c r="D349" s="9" t="s">
        <v>215</v>
      </c>
      <c r="E349" s="126">
        <f aca="true" t="shared" si="19" ref="E349:F350">E350</f>
        <v>300</v>
      </c>
      <c r="F349" s="126">
        <f t="shared" si="19"/>
        <v>300</v>
      </c>
    </row>
    <row r="350" spans="1:6" ht="50.4">
      <c r="A350" s="127" t="s">
        <v>22</v>
      </c>
      <c r="B350" s="127" t="s">
        <v>216</v>
      </c>
      <c r="C350" s="196"/>
      <c r="D350" s="9" t="s">
        <v>217</v>
      </c>
      <c r="E350" s="126">
        <f t="shared" si="19"/>
        <v>300</v>
      </c>
      <c r="F350" s="126">
        <f t="shared" si="19"/>
        <v>300</v>
      </c>
    </row>
    <row r="351" spans="1:6" ht="33.6">
      <c r="A351" s="127" t="s">
        <v>22</v>
      </c>
      <c r="B351" s="127" t="s">
        <v>216</v>
      </c>
      <c r="C351" s="197">
        <v>600</v>
      </c>
      <c r="D351" s="9" t="s">
        <v>87</v>
      </c>
      <c r="E351" s="126">
        <f>'№8 ведом.'!F195</f>
        <v>300</v>
      </c>
      <c r="F351" s="126">
        <f>'№8 ведом.'!G195</f>
        <v>300</v>
      </c>
    </row>
    <row r="352" spans="1:6" ht="33.6">
      <c r="A352" s="127" t="s">
        <v>22</v>
      </c>
      <c r="B352" s="127" t="s">
        <v>201</v>
      </c>
      <c r="C352" s="196"/>
      <c r="D352" s="9" t="s">
        <v>202</v>
      </c>
      <c r="E352" s="126">
        <f>E353+E355+E357+E359+E361</f>
        <v>778</v>
      </c>
      <c r="F352" s="126">
        <f>F353+F355+F357+F359+F361</f>
        <v>777.5</v>
      </c>
    </row>
    <row r="353" spans="1:6" ht="33.6">
      <c r="A353" s="127" t="s">
        <v>22</v>
      </c>
      <c r="B353" s="127" t="s">
        <v>205</v>
      </c>
      <c r="C353" s="196"/>
      <c r="D353" s="9" t="s">
        <v>204</v>
      </c>
      <c r="E353" s="126">
        <f>E354</f>
        <v>150</v>
      </c>
      <c r="F353" s="126">
        <f>F354</f>
        <v>150</v>
      </c>
    </row>
    <row r="354" spans="1:6" ht="12.75">
      <c r="A354" s="127" t="s">
        <v>22</v>
      </c>
      <c r="B354" s="127" t="s">
        <v>205</v>
      </c>
      <c r="C354" s="196" t="s">
        <v>61</v>
      </c>
      <c r="D354" s="9" t="s">
        <v>62</v>
      </c>
      <c r="E354" s="126">
        <f>'№8 ведом.'!F198</f>
        <v>150</v>
      </c>
      <c r="F354" s="126">
        <f>'№8 ведом.'!G198</f>
        <v>150</v>
      </c>
    </row>
    <row r="355" spans="1:6" ht="33.6">
      <c r="A355" s="127" t="s">
        <v>22</v>
      </c>
      <c r="B355" s="127" t="s">
        <v>207</v>
      </c>
      <c r="C355" s="196"/>
      <c r="D355" s="9" t="s">
        <v>206</v>
      </c>
      <c r="E355" s="126">
        <f>E356</f>
        <v>140.8</v>
      </c>
      <c r="F355" s="126">
        <f>F356</f>
        <v>140.8</v>
      </c>
    </row>
    <row r="356" spans="1:6" ht="12.75">
      <c r="A356" s="127" t="s">
        <v>22</v>
      </c>
      <c r="B356" s="127" t="s">
        <v>207</v>
      </c>
      <c r="C356" s="196" t="s">
        <v>61</v>
      </c>
      <c r="D356" s="9" t="s">
        <v>62</v>
      </c>
      <c r="E356" s="126">
        <f>'№8 ведом.'!F200</f>
        <v>140.8</v>
      </c>
      <c r="F356" s="126">
        <f>'№8 ведом.'!G200</f>
        <v>140.8</v>
      </c>
    </row>
    <row r="357" spans="1:6" ht="50.4">
      <c r="A357" s="127" t="s">
        <v>22</v>
      </c>
      <c r="B357" s="127" t="s">
        <v>210</v>
      </c>
      <c r="C357" s="196"/>
      <c r="D357" s="9" t="s">
        <v>208</v>
      </c>
      <c r="E357" s="126">
        <f>E358</f>
        <v>169</v>
      </c>
      <c r="F357" s="126">
        <f>F358</f>
        <v>168.5</v>
      </c>
    </row>
    <row r="358" spans="1:6" ht="12.75">
      <c r="A358" s="127" t="s">
        <v>22</v>
      </c>
      <c r="B358" s="127" t="s">
        <v>210</v>
      </c>
      <c r="C358" s="196" t="s">
        <v>61</v>
      </c>
      <c r="D358" s="9" t="s">
        <v>62</v>
      </c>
      <c r="E358" s="126">
        <f>'№8 ведом.'!F202</f>
        <v>169</v>
      </c>
      <c r="F358" s="126">
        <f>'№8 ведом.'!G202</f>
        <v>168.5</v>
      </c>
    </row>
    <row r="359" spans="1:6" ht="33.6">
      <c r="A359" s="127" t="s">
        <v>22</v>
      </c>
      <c r="B359" s="127" t="s">
        <v>211</v>
      </c>
      <c r="C359" s="196"/>
      <c r="D359" s="9" t="s">
        <v>209</v>
      </c>
      <c r="E359" s="126">
        <f>E360</f>
        <v>200</v>
      </c>
      <c r="F359" s="126">
        <f>F360</f>
        <v>200</v>
      </c>
    </row>
    <row r="360" spans="1:6" ht="12.75">
      <c r="A360" s="25" t="s">
        <v>22</v>
      </c>
      <c r="B360" s="127" t="s">
        <v>211</v>
      </c>
      <c r="C360" s="196" t="s">
        <v>61</v>
      </c>
      <c r="D360" s="9" t="s">
        <v>62</v>
      </c>
      <c r="E360" s="126">
        <f>'№8 ведом.'!F204</f>
        <v>200</v>
      </c>
      <c r="F360" s="126">
        <f>'№8 ведом.'!G204</f>
        <v>200</v>
      </c>
    </row>
    <row r="361" spans="1:6" ht="50.4">
      <c r="A361" s="25" t="s">
        <v>22</v>
      </c>
      <c r="B361" s="127" t="s">
        <v>212</v>
      </c>
      <c r="C361" s="196"/>
      <c r="D361" s="9" t="s">
        <v>213</v>
      </c>
      <c r="E361" s="126">
        <f>E362</f>
        <v>118.19999999999999</v>
      </c>
      <c r="F361" s="126">
        <f>F362</f>
        <v>118.2</v>
      </c>
    </row>
    <row r="362" spans="1:6" ht="12.75">
      <c r="A362" s="25" t="s">
        <v>22</v>
      </c>
      <c r="B362" s="127" t="s">
        <v>212</v>
      </c>
      <c r="C362" s="196" t="s">
        <v>61</v>
      </c>
      <c r="D362" s="9" t="s">
        <v>62</v>
      </c>
      <c r="E362" s="126">
        <f>'№8 ведом.'!F206</f>
        <v>118.19999999999999</v>
      </c>
      <c r="F362" s="126">
        <f>'№8 ведом.'!G206</f>
        <v>118.2</v>
      </c>
    </row>
    <row r="363" spans="1:6" ht="12.75">
      <c r="A363" s="25" t="s">
        <v>108</v>
      </c>
      <c r="B363" s="8"/>
      <c r="C363" s="67"/>
      <c r="D363" s="9" t="s">
        <v>109</v>
      </c>
      <c r="E363" s="126">
        <f>E364+E368</f>
        <v>14175.6</v>
      </c>
      <c r="F363" s="126">
        <f>F364+F368</f>
        <v>13860</v>
      </c>
    </row>
    <row r="364" spans="1:6" ht="50.4">
      <c r="A364" s="197">
        <v>1004</v>
      </c>
      <c r="B364" s="127" t="s">
        <v>81</v>
      </c>
      <c r="C364" s="196"/>
      <c r="D364" s="9" t="s">
        <v>79</v>
      </c>
      <c r="E364" s="126">
        <f aca="true" t="shared" si="20" ref="E364:F366">E365</f>
        <v>7754.1</v>
      </c>
      <c r="F364" s="126">
        <f t="shared" si="20"/>
        <v>7438.8</v>
      </c>
    </row>
    <row r="365" spans="1:6" ht="33.6">
      <c r="A365" s="197">
        <v>1004</v>
      </c>
      <c r="B365" s="127" t="s">
        <v>82</v>
      </c>
      <c r="C365" s="196"/>
      <c r="D365" s="9" t="s">
        <v>80</v>
      </c>
      <c r="E365" s="126">
        <f t="shared" si="20"/>
        <v>7754.1</v>
      </c>
      <c r="F365" s="126">
        <f t="shared" si="20"/>
        <v>7438.8</v>
      </c>
    </row>
    <row r="366" spans="1:6" ht="67.2">
      <c r="A366" s="197">
        <v>1004</v>
      </c>
      <c r="B366" s="8" t="s">
        <v>110</v>
      </c>
      <c r="C366" s="8"/>
      <c r="D366" s="56" t="s">
        <v>111</v>
      </c>
      <c r="E366" s="126">
        <f t="shared" si="20"/>
        <v>7754.1</v>
      </c>
      <c r="F366" s="126">
        <f t="shared" si="20"/>
        <v>7438.8</v>
      </c>
    </row>
    <row r="367" spans="1:6" ht="12.75">
      <c r="A367" s="127" t="s">
        <v>108</v>
      </c>
      <c r="B367" s="8" t="s">
        <v>110</v>
      </c>
      <c r="C367" s="196" t="s">
        <v>61</v>
      </c>
      <c r="D367" s="9" t="s">
        <v>62</v>
      </c>
      <c r="E367" s="126">
        <f>'№8 ведом.'!F457</f>
        <v>7754.1</v>
      </c>
      <c r="F367" s="126">
        <f>'№8 ведом.'!G457</f>
        <v>7438.8</v>
      </c>
    </row>
    <row r="368" spans="1:6" ht="67.2">
      <c r="A368" s="25" t="s">
        <v>108</v>
      </c>
      <c r="B368" s="8" t="s">
        <v>175</v>
      </c>
      <c r="C368" s="67"/>
      <c r="D368" s="9" t="s">
        <v>173</v>
      </c>
      <c r="E368" s="126">
        <f>E369</f>
        <v>6421.5</v>
      </c>
      <c r="F368" s="126">
        <f>F369</f>
        <v>6421.2</v>
      </c>
    </row>
    <row r="369" spans="1:6" ht="33.6">
      <c r="A369" s="25" t="s">
        <v>108</v>
      </c>
      <c r="B369" s="8" t="s">
        <v>176</v>
      </c>
      <c r="C369" s="8"/>
      <c r="D369" s="56" t="s">
        <v>174</v>
      </c>
      <c r="E369" s="126">
        <f>E370+E372</f>
        <v>6421.5</v>
      </c>
      <c r="F369" s="126">
        <f>F370+F372</f>
        <v>6421.2</v>
      </c>
    </row>
    <row r="370" spans="1:6" ht="67.2">
      <c r="A370" s="25" t="s">
        <v>108</v>
      </c>
      <c r="B370" s="8" t="s">
        <v>178</v>
      </c>
      <c r="C370" s="8"/>
      <c r="D370" s="56" t="s">
        <v>177</v>
      </c>
      <c r="E370" s="126">
        <f>E371</f>
        <v>2140.5</v>
      </c>
      <c r="F370" s="126">
        <f>F371</f>
        <v>2140.5</v>
      </c>
    </row>
    <row r="371" spans="1:6" ht="12.75">
      <c r="A371" s="25" t="s">
        <v>108</v>
      </c>
      <c r="B371" s="8" t="s">
        <v>178</v>
      </c>
      <c r="C371" s="197" t="s">
        <v>61</v>
      </c>
      <c r="D371" s="9" t="s">
        <v>62</v>
      </c>
      <c r="E371" s="126">
        <f>'№8 ведом.'!F283</f>
        <v>2140.5</v>
      </c>
      <c r="F371" s="126">
        <f>'№8 ведом.'!G283</f>
        <v>2140.5</v>
      </c>
    </row>
    <row r="372" spans="1:6" ht="84">
      <c r="A372" s="25" t="s">
        <v>108</v>
      </c>
      <c r="B372" s="8" t="s">
        <v>300</v>
      </c>
      <c r="C372" s="197"/>
      <c r="D372" s="56" t="s">
        <v>338</v>
      </c>
      <c r="E372" s="126">
        <f>E373</f>
        <v>4281</v>
      </c>
      <c r="F372" s="126">
        <f>F373</f>
        <v>4280.7</v>
      </c>
    </row>
    <row r="373" spans="1:6" ht="12.75">
      <c r="A373" s="25" t="s">
        <v>108</v>
      </c>
      <c r="B373" s="8" t="s">
        <v>300</v>
      </c>
      <c r="C373" s="197" t="s">
        <v>61</v>
      </c>
      <c r="D373" s="9" t="s">
        <v>62</v>
      </c>
      <c r="E373" s="126">
        <f>'№8 ведом.'!F285</f>
        <v>4281</v>
      </c>
      <c r="F373" s="126">
        <f>'№8 ведом.'!G285</f>
        <v>4280.7</v>
      </c>
    </row>
    <row r="374" spans="1:6" s="36" customFormat="1" ht="12.75">
      <c r="A374" s="26" t="s">
        <v>44</v>
      </c>
      <c r="B374" s="26"/>
      <c r="C374" s="26"/>
      <c r="D374" s="27" t="s">
        <v>12</v>
      </c>
      <c r="E374" s="52">
        <f>E375+E390</f>
        <v>12948.7</v>
      </c>
      <c r="F374" s="52">
        <f>F375+F390</f>
        <v>12931.7</v>
      </c>
    </row>
    <row r="375" spans="1:6" ht="12.75">
      <c r="A375" s="127" t="s">
        <v>148</v>
      </c>
      <c r="B375" s="127"/>
      <c r="C375" s="196"/>
      <c r="D375" s="19" t="s">
        <v>45</v>
      </c>
      <c r="E375" s="126">
        <f>E376+E387</f>
        <v>10753.1</v>
      </c>
      <c r="F375" s="126">
        <f>F376+F387</f>
        <v>10749</v>
      </c>
    </row>
    <row r="376" spans="1:6" ht="50.4">
      <c r="A376" s="127" t="s">
        <v>148</v>
      </c>
      <c r="B376" s="127" t="s">
        <v>143</v>
      </c>
      <c r="C376" s="196"/>
      <c r="D376" s="9" t="s">
        <v>142</v>
      </c>
      <c r="E376" s="126">
        <f aca="true" t="shared" si="21" ref="E376:F376">E377</f>
        <v>10703.1</v>
      </c>
      <c r="F376" s="126">
        <f t="shared" si="21"/>
        <v>10699</v>
      </c>
    </row>
    <row r="377" spans="1:6" ht="33.6">
      <c r="A377" s="127" t="s">
        <v>148</v>
      </c>
      <c r="B377" s="127" t="s">
        <v>145</v>
      </c>
      <c r="C377" s="196"/>
      <c r="D377" s="9" t="s">
        <v>144</v>
      </c>
      <c r="E377" s="126">
        <f>E378+E383+E385</f>
        <v>10703.1</v>
      </c>
      <c r="F377" s="126">
        <f>F378+F383+F385</f>
        <v>10699</v>
      </c>
    </row>
    <row r="378" spans="1:6" ht="33.6">
      <c r="A378" s="127" t="s">
        <v>148</v>
      </c>
      <c r="B378" s="127" t="s">
        <v>152</v>
      </c>
      <c r="C378" s="196"/>
      <c r="D378" s="9" t="s">
        <v>149</v>
      </c>
      <c r="E378" s="126">
        <f>E380+E381+E379+E382</f>
        <v>1190.7</v>
      </c>
      <c r="F378" s="126">
        <f>F380+F381+F379+F382</f>
        <v>1186.6</v>
      </c>
    </row>
    <row r="379" spans="1:6" ht="84">
      <c r="A379" s="127" t="s">
        <v>148</v>
      </c>
      <c r="B379" s="127" t="s">
        <v>152</v>
      </c>
      <c r="C379" s="67" t="s">
        <v>55</v>
      </c>
      <c r="D379" s="9" t="s">
        <v>346</v>
      </c>
      <c r="E379" s="126">
        <f>'№8 ведом.'!F351</f>
        <v>507.1</v>
      </c>
      <c r="F379" s="126">
        <f>'№8 ведом.'!G351</f>
        <v>503.1</v>
      </c>
    </row>
    <row r="380" spans="1:6" ht="33.6">
      <c r="A380" s="127" t="s">
        <v>148</v>
      </c>
      <c r="B380" s="127" t="s">
        <v>152</v>
      </c>
      <c r="C380" s="67" t="s">
        <v>56</v>
      </c>
      <c r="D380" s="9" t="s">
        <v>57</v>
      </c>
      <c r="E380" s="126">
        <f>'№8 ведом.'!F352</f>
        <v>490.70000000000005</v>
      </c>
      <c r="F380" s="126">
        <f>'№8 ведом.'!G352</f>
        <v>490.6</v>
      </c>
    </row>
    <row r="381" spans="1:6" ht="33.6">
      <c r="A381" s="127" t="s">
        <v>148</v>
      </c>
      <c r="B381" s="127" t="s">
        <v>152</v>
      </c>
      <c r="C381" s="197">
        <v>600</v>
      </c>
      <c r="D381" s="9" t="s">
        <v>87</v>
      </c>
      <c r="E381" s="126">
        <f>'№8 ведом.'!F353</f>
        <v>119.4</v>
      </c>
      <c r="F381" s="126">
        <f>'№8 ведом.'!G353</f>
        <v>119.4</v>
      </c>
    </row>
    <row r="382" spans="1:6" ht="12.75">
      <c r="A382" s="127" t="s">
        <v>148</v>
      </c>
      <c r="B382" s="127" t="s">
        <v>152</v>
      </c>
      <c r="C382" s="67" t="s">
        <v>58</v>
      </c>
      <c r="D382" s="9" t="s">
        <v>59</v>
      </c>
      <c r="E382" s="126">
        <f>'№8 ведом.'!F354</f>
        <v>73.5</v>
      </c>
      <c r="F382" s="126">
        <f>'№8 ведом.'!G354</f>
        <v>73.5</v>
      </c>
    </row>
    <row r="383" spans="1:6" ht="50.4">
      <c r="A383" s="127" t="s">
        <v>148</v>
      </c>
      <c r="B383" s="127" t="s">
        <v>153</v>
      </c>
      <c r="C383" s="196"/>
      <c r="D383" s="9" t="s">
        <v>150</v>
      </c>
      <c r="E383" s="126">
        <f>E384</f>
        <v>9147.1</v>
      </c>
      <c r="F383" s="126">
        <f>F384</f>
        <v>9147.1</v>
      </c>
    </row>
    <row r="384" spans="1:6" ht="33.6">
      <c r="A384" s="127" t="s">
        <v>148</v>
      </c>
      <c r="B384" s="127" t="s">
        <v>153</v>
      </c>
      <c r="C384" s="197">
        <v>600</v>
      </c>
      <c r="D384" s="9" t="s">
        <v>87</v>
      </c>
      <c r="E384" s="126">
        <f>'№8 ведом.'!F356</f>
        <v>9147.1</v>
      </c>
      <c r="F384" s="126">
        <f>'№8 ведом.'!G356</f>
        <v>9147.1</v>
      </c>
    </row>
    <row r="385" spans="1:6" ht="50.4">
      <c r="A385" s="127" t="s">
        <v>148</v>
      </c>
      <c r="B385" s="127" t="s">
        <v>154</v>
      </c>
      <c r="C385" s="196"/>
      <c r="D385" s="9" t="s">
        <v>151</v>
      </c>
      <c r="E385" s="126">
        <f>E386</f>
        <v>365.3</v>
      </c>
      <c r="F385" s="126">
        <f>F386</f>
        <v>365.3</v>
      </c>
    </row>
    <row r="386" spans="1:6" ht="33.6">
      <c r="A386" s="127" t="s">
        <v>148</v>
      </c>
      <c r="B386" s="127" t="s">
        <v>154</v>
      </c>
      <c r="C386" s="197">
        <v>600</v>
      </c>
      <c r="D386" s="9" t="s">
        <v>87</v>
      </c>
      <c r="E386" s="126">
        <f>'№8 ведом.'!F358</f>
        <v>365.3</v>
      </c>
      <c r="F386" s="126">
        <f>'№8 ведом.'!G358</f>
        <v>365.3</v>
      </c>
    </row>
    <row r="387" spans="1:6" ht="33.6">
      <c r="A387" s="127" t="s">
        <v>148</v>
      </c>
      <c r="B387" s="8" t="s">
        <v>297</v>
      </c>
      <c r="C387" s="25"/>
      <c r="D387" s="9" t="s">
        <v>294</v>
      </c>
      <c r="E387" s="126">
        <f>E388</f>
        <v>50</v>
      </c>
      <c r="F387" s="126">
        <f>F388</f>
        <v>50</v>
      </c>
    </row>
    <row r="388" spans="1:6" ht="50.4">
      <c r="A388" s="127" t="s">
        <v>148</v>
      </c>
      <c r="B388" s="9">
        <v>9977888</v>
      </c>
      <c r="C388" s="197"/>
      <c r="D388" s="9" t="s">
        <v>429</v>
      </c>
      <c r="E388" s="126">
        <f>E389</f>
        <v>50</v>
      </c>
      <c r="F388" s="126">
        <f>F389</f>
        <v>50</v>
      </c>
    </row>
    <row r="389" spans="1:6" ht="33.6">
      <c r="A389" s="127" t="s">
        <v>148</v>
      </c>
      <c r="B389" s="9">
        <v>9977888</v>
      </c>
      <c r="C389" s="25" t="s">
        <v>56</v>
      </c>
      <c r="D389" s="9" t="s">
        <v>57</v>
      </c>
      <c r="E389" s="126">
        <f>'№8 ведом.'!F361</f>
        <v>50</v>
      </c>
      <c r="F389" s="126">
        <f>'№8 ведом.'!G361</f>
        <v>50</v>
      </c>
    </row>
    <row r="390" spans="1:6" ht="12.75">
      <c r="A390" s="127" t="s">
        <v>155</v>
      </c>
      <c r="B390" s="127"/>
      <c r="C390" s="196"/>
      <c r="D390" s="30" t="s">
        <v>340</v>
      </c>
      <c r="E390" s="126">
        <f aca="true" t="shared" si="22" ref="E390:F392">E391</f>
        <v>2195.6000000000004</v>
      </c>
      <c r="F390" s="126">
        <f t="shared" si="22"/>
        <v>2182.7000000000003</v>
      </c>
    </row>
    <row r="391" spans="1:6" ht="50.4">
      <c r="A391" s="127" t="s">
        <v>155</v>
      </c>
      <c r="B391" s="127" t="s">
        <v>143</v>
      </c>
      <c r="C391" s="196"/>
      <c r="D391" s="9" t="s">
        <v>142</v>
      </c>
      <c r="E391" s="126">
        <f t="shared" si="22"/>
        <v>2195.6000000000004</v>
      </c>
      <c r="F391" s="126">
        <f t="shared" si="22"/>
        <v>2182.7000000000003</v>
      </c>
    </row>
    <row r="392" spans="1:6" ht="12.75">
      <c r="A392" s="127" t="s">
        <v>155</v>
      </c>
      <c r="B392" s="8" t="s">
        <v>156</v>
      </c>
      <c r="C392" s="8"/>
      <c r="D392" s="56" t="s">
        <v>343</v>
      </c>
      <c r="E392" s="126">
        <f t="shared" si="22"/>
        <v>2195.6000000000004</v>
      </c>
      <c r="F392" s="126">
        <f t="shared" si="22"/>
        <v>2182.7000000000003</v>
      </c>
    </row>
    <row r="393" spans="1:6" ht="67.2">
      <c r="A393" s="127" t="s">
        <v>155</v>
      </c>
      <c r="B393" s="127" t="s">
        <v>157</v>
      </c>
      <c r="C393" s="196"/>
      <c r="D393" s="9" t="s">
        <v>63</v>
      </c>
      <c r="E393" s="126">
        <f>E394+E395+E396</f>
        <v>2195.6000000000004</v>
      </c>
      <c r="F393" s="126">
        <f>F394+F395+F396</f>
        <v>2182.7000000000003</v>
      </c>
    </row>
    <row r="394" spans="1:6" ht="84">
      <c r="A394" s="127" t="s">
        <v>155</v>
      </c>
      <c r="B394" s="127" t="s">
        <v>157</v>
      </c>
      <c r="C394" s="67" t="s">
        <v>55</v>
      </c>
      <c r="D394" s="9" t="s">
        <v>346</v>
      </c>
      <c r="E394" s="126">
        <f>'№8 ведом.'!F366</f>
        <v>1874.4</v>
      </c>
      <c r="F394" s="126">
        <f>'№8 ведом.'!G366</f>
        <v>1874.4</v>
      </c>
    </row>
    <row r="395" spans="1:6" ht="33.6">
      <c r="A395" s="25" t="s">
        <v>155</v>
      </c>
      <c r="B395" s="127" t="s">
        <v>157</v>
      </c>
      <c r="C395" s="67" t="s">
        <v>56</v>
      </c>
      <c r="D395" s="9" t="s">
        <v>57</v>
      </c>
      <c r="E395" s="126">
        <f>'№8 ведом.'!F367</f>
        <v>320.9</v>
      </c>
      <c r="F395" s="126">
        <f>'№8 ведом.'!G367</f>
        <v>308.3</v>
      </c>
    </row>
    <row r="396" spans="1:6" ht="12.75">
      <c r="A396" s="25" t="s">
        <v>155</v>
      </c>
      <c r="B396" s="127" t="s">
        <v>157</v>
      </c>
      <c r="C396" s="67" t="s">
        <v>58</v>
      </c>
      <c r="D396" s="9" t="s">
        <v>59</v>
      </c>
      <c r="E396" s="126">
        <f>'№8 ведом.'!F368</f>
        <v>0.3</v>
      </c>
      <c r="F396" s="126">
        <f>'№8 ведом.'!G368</f>
        <v>0</v>
      </c>
    </row>
    <row r="397" spans="1:6" s="36" customFormat="1" ht="12.75">
      <c r="A397" s="26">
        <v>1200</v>
      </c>
      <c r="B397" s="26"/>
      <c r="C397" s="26"/>
      <c r="D397" s="27" t="s">
        <v>46</v>
      </c>
      <c r="E397" s="52">
        <f>E398+E403</f>
        <v>2631.6</v>
      </c>
      <c r="F397" s="52">
        <f>F398+F403</f>
        <v>2631.6</v>
      </c>
    </row>
    <row r="398" spans="1:6" ht="12.75">
      <c r="A398" s="197">
        <v>1201</v>
      </c>
      <c r="B398" s="8"/>
      <c r="C398" s="25"/>
      <c r="D398" s="9" t="s">
        <v>374</v>
      </c>
      <c r="E398" s="126">
        <f aca="true" t="shared" si="23" ref="E398:F401">E399</f>
        <v>770</v>
      </c>
      <c r="F398" s="126">
        <f t="shared" si="23"/>
        <v>770</v>
      </c>
    </row>
    <row r="399" spans="1:6" ht="50.4">
      <c r="A399" s="25" t="s">
        <v>49</v>
      </c>
      <c r="B399" s="127" t="s">
        <v>342</v>
      </c>
      <c r="C399" s="196"/>
      <c r="D399" s="23" t="s">
        <v>322</v>
      </c>
      <c r="E399" s="126">
        <f t="shared" si="23"/>
        <v>770</v>
      </c>
      <c r="F399" s="126">
        <f t="shared" si="23"/>
        <v>770</v>
      </c>
    </row>
    <row r="400" spans="1:6" ht="67.2">
      <c r="A400" s="25" t="s">
        <v>49</v>
      </c>
      <c r="B400" s="127" t="s">
        <v>214</v>
      </c>
      <c r="C400" s="196"/>
      <c r="D400" s="9" t="s">
        <v>215</v>
      </c>
      <c r="E400" s="126">
        <f t="shared" si="23"/>
        <v>770</v>
      </c>
      <c r="F400" s="126">
        <f t="shared" si="23"/>
        <v>770</v>
      </c>
    </row>
    <row r="401" spans="1:6" ht="100.8">
      <c r="A401" s="25" t="s">
        <v>49</v>
      </c>
      <c r="B401" s="127" t="s">
        <v>332</v>
      </c>
      <c r="C401" s="196"/>
      <c r="D401" s="9" t="s">
        <v>337</v>
      </c>
      <c r="E401" s="126">
        <f t="shared" si="23"/>
        <v>770</v>
      </c>
      <c r="F401" s="126">
        <f t="shared" si="23"/>
        <v>770</v>
      </c>
    </row>
    <row r="402" spans="1:6" ht="12.75">
      <c r="A402" s="25" t="s">
        <v>49</v>
      </c>
      <c r="B402" s="127" t="s">
        <v>332</v>
      </c>
      <c r="C402" s="196" t="s">
        <v>58</v>
      </c>
      <c r="D402" s="9" t="s">
        <v>59</v>
      </c>
      <c r="E402" s="126">
        <f>'№8 ведом.'!F212</f>
        <v>770</v>
      </c>
      <c r="F402" s="126">
        <f>'№8 ведом.'!G212</f>
        <v>770</v>
      </c>
    </row>
    <row r="403" spans="1:6" ht="12.75">
      <c r="A403" s="25" t="s">
        <v>51</v>
      </c>
      <c r="B403" s="8"/>
      <c r="C403" s="25"/>
      <c r="D403" s="9" t="s">
        <v>52</v>
      </c>
      <c r="E403" s="126">
        <f aca="true" t="shared" si="24" ref="E403:F404">E404</f>
        <v>1861.6</v>
      </c>
      <c r="F403" s="126">
        <f t="shared" si="24"/>
        <v>1861.6</v>
      </c>
    </row>
    <row r="404" spans="1:6" ht="50.4">
      <c r="A404" s="25" t="s">
        <v>51</v>
      </c>
      <c r="B404" s="127" t="s">
        <v>342</v>
      </c>
      <c r="C404" s="196"/>
      <c r="D404" s="23" t="s">
        <v>322</v>
      </c>
      <c r="E404" s="126">
        <f t="shared" si="24"/>
        <v>1861.6</v>
      </c>
      <c r="F404" s="126">
        <f t="shared" si="24"/>
        <v>1861.6</v>
      </c>
    </row>
    <row r="405" spans="1:6" ht="67.2">
      <c r="A405" s="25" t="s">
        <v>51</v>
      </c>
      <c r="B405" s="127" t="s">
        <v>214</v>
      </c>
      <c r="C405" s="196"/>
      <c r="D405" s="9" t="s">
        <v>215</v>
      </c>
      <c r="E405" s="126">
        <f>E406+E408+E412+E410+E414</f>
        <v>1861.6</v>
      </c>
      <c r="F405" s="126">
        <f>F406+F408+F412+F410+F414</f>
        <v>1861.6</v>
      </c>
    </row>
    <row r="406" spans="1:6" ht="84">
      <c r="A406" s="25" t="s">
        <v>51</v>
      </c>
      <c r="B406" s="127" t="s">
        <v>333</v>
      </c>
      <c r="C406" s="196"/>
      <c r="D406" s="9" t="s">
        <v>336</v>
      </c>
      <c r="E406" s="126">
        <f>E407</f>
        <v>400</v>
      </c>
      <c r="F406" s="126">
        <f>F407</f>
        <v>400</v>
      </c>
    </row>
    <row r="407" spans="1:6" ht="12.75">
      <c r="A407" s="25" t="s">
        <v>51</v>
      </c>
      <c r="B407" s="127" t="s">
        <v>333</v>
      </c>
      <c r="C407" s="196" t="s">
        <v>58</v>
      </c>
      <c r="D407" s="9" t="s">
        <v>59</v>
      </c>
      <c r="E407" s="126">
        <f>'№8 ведом.'!F217</f>
        <v>400</v>
      </c>
      <c r="F407" s="126">
        <f>'№8 ведом.'!G217</f>
        <v>400</v>
      </c>
    </row>
    <row r="408" spans="1:6" ht="84">
      <c r="A408" s="25" t="s">
        <v>51</v>
      </c>
      <c r="B408" s="127" t="s">
        <v>334</v>
      </c>
      <c r="C408" s="196"/>
      <c r="D408" s="9" t="s">
        <v>335</v>
      </c>
      <c r="E408" s="126">
        <f>E409</f>
        <v>520</v>
      </c>
      <c r="F408" s="126">
        <f>F409</f>
        <v>520</v>
      </c>
    </row>
    <row r="409" spans="1:6" ht="12.75">
      <c r="A409" s="25" t="s">
        <v>51</v>
      </c>
      <c r="B409" s="127" t="s">
        <v>334</v>
      </c>
      <c r="C409" s="196" t="s">
        <v>58</v>
      </c>
      <c r="D409" s="9" t="s">
        <v>59</v>
      </c>
      <c r="E409" s="126">
        <f>'№8 ведом.'!F219</f>
        <v>520</v>
      </c>
      <c r="F409" s="126">
        <f>'№8 ведом.'!G219</f>
        <v>520</v>
      </c>
    </row>
    <row r="410" spans="1:6" s="62" customFormat="1" ht="67.2">
      <c r="A410" s="25" t="s">
        <v>51</v>
      </c>
      <c r="B410" s="11" t="s">
        <v>442</v>
      </c>
      <c r="C410" s="197"/>
      <c r="D410" s="9" t="s">
        <v>443</v>
      </c>
      <c r="E410" s="61">
        <f>E411</f>
        <v>170</v>
      </c>
      <c r="F410" s="61">
        <f>F411</f>
        <v>170</v>
      </c>
    </row>
    <row r="411" spans="1:6" s="62" customFormat="1" ht="12.75">
      <c r="A411" s="25" t="s">
        <v>51</v>
      </c>
      <c r="B411" s="11" t="s">
        <v>442</v>
      </c>
      <c r="C411" s="197" t="s">
        <v>58</v>
      </c>
      <c r="D411" s="9" t="s">
        <v>59</v>
      </c>
      <c r="E411" s="61">
        <f>'№8 ведом.'!F221</f>
        <v>170</v>
      </c>
      <c r="F411" s="61">
        <f>'№8 ведом.'!G221</f>
        <v>170</v>
      </c>
    </row>
    <row r="412" spans="1:6" ht="100.8">
      <c r="A412" s="25" t="s">
        <v>51</v>
      </c>
      <c r="B412" s="127" t="s">
        <v>417</v>
      </c>
      <c r="C412" s="196"/>
      <c r="D412" s="9" t="s">
        <v>418</v>
      </c>
      <c r="E412" s="126">
        <f>E413</f>
        <v>521.6</v>
      </c>
      <c r="F412" s="126">
        <f>F413</f>
        <v>521.6</v>
      </c>
    </row>
    <row r="413" spans="1:6" ht="12.75">
      <c r="A413" s="25" t="s">
        <v>51</v>
      </c>
      <c r="B413" s="127" t="s">
        <v>417</v>
      </c>
      <c r="C413" s="196" t="s">
        <v>58</v>
      </c>
      <c r="D413" s="9" t="s">
        <v>59</v>
      </c>
      <c r="E413" s="126">
        <f>'№8 ведом.'!F223</f>
        <v>521.6</v>
      </c>
      <c r="F413" s="126">
        <f>'№8 ведом.'!G223</f>
        <v>521.6</v>
      </c>
    </row>
    <row r="414" spans="1:6" ht="67.2">
      <c r="A414" s="25" t="s">
        <v>51</v>
      </c>
      <c r="B414" s="11" t="s">
        <v>504</v>
      </c>
      <c r="C414" s="197"/>
      <c r="D414" s="9" t="s">
        <v>505</v>
      </c>
      <c r="E414" s="126">
        <f>E415</f>
        <v>250</v>
      </c>
      <c r="F414" s="126">
        <f>F415</f>
        <v>250</v>
      </c>
    </row>
    <row r="415" spans="1:6" ht="12.75">
      <c r="A415" s="25" t="s">
        <v>51</v>
      </c>
      <c r="B415" s="11" t="s">
        <v>504</v>
      </c>
      <c r="C415" s="197" t="s">
        <v>58</v>
      </c>
      <c r="D415" s="9" t="s">
        <v>59</v>
      </c>
      <c r="E415" s="126">
        <f>'№8 ведом.'!F225</f>
        <v>250</v>
      </c>
      <c r="F415" s="126">
        <f>'№8 ведом.'!G225</f>
        <v>250</v>
      </c>
    </row>
    <row r="416" spans="1:6" s="36" customFormat="1" ht="33.6">
      <c r="A416" s="26" t="s">
        <v>47</v>
      </c>
      <c r="B416" s="26"/>
      <c r="C416" s="26"/>
      <c r="D416" s="27" t="s">
        <v>369</v>
      </c>
      <c r="E416" s="52">
        <f aca="true" t="shared" si="25" ref="E416:F420">E417</f>
        <v>339.6</v>
      </c>
      <c r="F416" s="52">
        <f t="shared" si="25"/>
        <v>339.6</v>
      </c>
    </row>
    <row r="417" spans="1:6" ht="33.6">
      <c r="A417" s="25" t="s">
        <v>117</v>
      </c>
      <c r="B417" s="8"/>
      <c r="C417" s="67"/>
      <c r="D417" s="9" t="s">
        <v>48</v>
      </c>
      <c r="E417" s="126">
        <f t="shared" si="25"/>
        <v>339.6</v>
      </c>
      <c r="F417" s="126">
        <f t="shared" si="25"/>
        <v>339.6</v>
      </c>
    </row>
    <row r="418" spans="1:6" ht="50.4">
      <c r="A418" s="25" t="s">
        <v>117</v>
      </c>
      <c r="B418" s="8" t="s">
        <v>359</v>
      </c>
      <c r="C418" s="67"/>
      <c r="D418" s="9" t="s">
        <v>358</v>
      </c>
      <c r="E418" s="126">
        <f t="shared" si="25"/>
        <v>339.6</v>
      </c>
      <c r="F418" s="126">
        <f t="shared" si="25"/>
        <v>339.6</v>
      </c>
    </row>
    <row r="419" spans="1:6" ht="50.4">
      <c r="A419" s="25" t="s">
        <v>117</v>
      </c>
      <c r="B419" s="8" t="s">
        <v>119</v>
      </c>
      <c r="C419" s="67"/>
      <c r="D419" s="9" t="s">
        <v>118</v>
      </c>
      <c r="E419" s="126">
        <f t="shared" si="25"/>
        <v>339.6</v>
      </c>
      <c r="F419" s="126">
        <f t="shared" si="25"/>
        <v>339.6</v>
      </c>
    </row>
    <row r="420" spans="1:6" ht="12.75">
      <c r="A420" s="25" t="s">
        <v>117</v>
      </c>
      <c r="B420" s="8" t="s">
        <v>120</v>
      </c>
      <c r="C420" s="67"/>
      <c r="D420" s="9" t="s">
        <v>121</v>
      </c>
      <c r="E420" s="126">
        <f t="shared" si="25"/>
        <v>339.6</v>
      </c>
      <c r="F420" s="126">
        <f t="shared" si="25"/>
        <v>339.6</v>
      </c>
    </row>
    <row r="421" spans="1:6" ht="12.75">
      <c r="A421" s="25" t="s">
        <v>117</v>
      </c>
      <c r="B421" s="8" t="s">
        <v>120</v>
      </c>
      <c r="C421" s="67">
        <v>700</v>
      </c>
      <c r="D421" s="9" t="s">
        <v>122</v>
      </c>
      <c r="E421" s="126">
        <f>'№8 ведом.'!F254</f>
        <v>339.6</v>
      </c>
      <c r="F421" s="126">
        <f>'№8 ведом.'!G254</f>
        <v>339.6</v>
      </c>
    </row>
  </sheetData>
  <mergeCells count="4">
    <mergeCell ref="E1:F1"/>
    <mergeCell ref="B2:F2"/>
    <mergeCell ref="A3:F3"/>
    <mergeCell ref="A5:F5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Маслобойщикова Елена Анатольевна</cp:lastModifiedBy>
  <cp:lastPrinted>2015-05-14T11:47:19Z</cp:lastPrinted>
  <dcterms:created xsi:type="dcterms:W3CDTF">2007-11-30T05:39:28Z</dcterms:created>
  <dcterms:modified xsi:type="dcterms:W3CDTF">2015-05-14T11:49:36Z</dcterms:modified>
  <cp:category/>
  <cp:version/>
  <cp:contentType/>
  <cp:contentStatus/>
</cp:coreProperties>
</file>