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3040" windowHeight="9390" activeTab="7"/>
  </bookViews>
  <sheets>
    <sheet name="№1 " sheetId="169" r:id="rId1"/>
    <sheet name="№ 3" sheetId="172" r:id="rId2"/>
    <sheet name="№ 4 " sheetId="143" r:id="rId3"/>
    <sheet name="№ 5" sheetId="154" r:id="rId4"/>
    <sheet name="№ 6" sheetId="155" r:id="rId5"/>
    <sheet name="№7" sheetId="147" r:id="rId6"/>
    <sheet name="№8" sheetId="171" r:id="rId7"/>
    <sheet name="№9" sheetId="170" r:id="rId8"/>
  </sheets>
  <externalReferences>
    <externalReference r:id="rId9"/>
  </externalReferences>
  <definedNames>
    <definedName name="_xlnm._FilterDatabase" localSheetId="3" hidden="1">'№ 5'!$A$7:$H$786</definedName>
    <definedName name="_xlnm._FilterDatabase" localSheetId="4" hidden="1">'№ 6'!$A$6:$K$697</definedName>
    <definedName name="_xlnm._FilterDatabase" localSheetId="5" hidden="1">№7!$A$1:$F$524</definedName>
    <definedName name="_xlnm.Print_Area" localSheetId="2">'№ 4 '!$A$1:$E$47</definedName>
    <definedName name="_xlnm.Print_Area" localSheetId="3">'№ 5'!$A$1:$H$786</definedName>
    <definedName name="_xlnm.Print_Area" localSheetId="4">'№ 6'!$A$1:$G$697</definedName>
    <definedName name="_xlnm.Print_Area" localSheetId="7">№9!$A$1:$P$21</definedName>
  </definedNames>
  <calcPr calcId="124519"/>
  <fileRecoveryPr autoRecover="0"/>
</workbook>
</file>

<file path=xl/calcChain.xml><?xml version="1.0" encoding="utf-8"?>
<calcChain xmlns="http://schemas.openxmlformats.org/spreadsheetml/2006/main">
  <c r="F32" i="154"/>
  <c r="F27"/>
  <c r="F202" l="1"/>
  <c r="F192"/>
  <c r="F725"/>
  <c r="F728"/>
  <c r="F748" l="1"/>
  <c r="F746"/>
  <c r="C132" i="172" l="1"/>
  <c r="C124"/>
  <c r="C25" i="169"/>
  <c r="C22"/>
  <c r="F316" i="154"/>
  <c r="F313"/>
  <c r="F307"/>
  <c r="F731"/>
  <c r="F722"/>
  <c r="F695"/>
  <c r="F539"/>
  <c r="F555"/>
  <c r="D105" i="172" l="1"/>
  <c r="E105"/>
  <c r="E120"/>
  <c r="D120"/>
  <c r="C120"/>
  <c r="C104" l="1"/>
  <c r="F681" i="154"/>
  <c r="F661" l="1"/>
  <c r="F629"/>
  <c r="F786" l="1"/>
  <c r="F784"/>
  <c r="E160" i="172" l="1"/>
  <c r="D160"/>
  <c r="C160"/>
  <c r="C159" s="1"/>
  <c r="E159"/>
  <c r="D159"/>
  <c r="E157"/>
  <c r="E156" s="1"/>
  <c r="D157"/>
  <c r="D156" s="1"/>
  <c r="C157"/>
  <c r="C156"/>
  <c r="E154"/>
  <c r="D154"/>
  <c r="C154"/>
  <c r="C153" s="1"/>
  <c r="E153"/>
  <c r="D153"/>
  <c r="C152"/>
  <c r="C151" s="1"/>
  <c r="C150" s="1"/>
  <c r="E151"/>
  <c r="E150" s="1"/>
  <c r="D151"/>
  <c r="D150"/>
  <c r="C145"/>
  <c r="E143"/>
  <c r="D143"/>
  <c r="C143"/>
  <c r="C142"/>
  <c r="E141"/>
  <c r="D141"/>
  <c r="C141"/>
  <c r="E139"/>
  <c r="D139"/>
  <c r="C139"/>
  <c r="C134" s="1"/>
  <c r="E137"/>
  <c r="D137"/>
  <c r="C137"/>
  <c r="E135"/>
  <c r="E134" s="1"/>
  <c r="D135"/>
  <c r="C135"/>
  <c r="D134"/>
  <c r="C131"/>
  <c r="C129"/>
  <c r="C127"/>
  <c r="C126"/>
  <c r="E122"/>
  <c r="D122"/>
  <c r="C122"/>
  <c r="C105" s="1"/>
  <c r="E118"/>
  <c r="D118"/>
  <c r="C118"/>
  <c r="E116"/>
  <c r="D116"/>
  <c r="C116"/>
  <c r="E114"/>
  <c r="D114"/>
  <c r="C114"/>
  <c r="E112"/>
  <c r="D112"/>
  <c r="C112"/>
  <c r="E110"/>
  <c r="D110"/>
  <c r="C110"/>
  <c r="C107"/>
  <c r="C106" s="1"/>
  <c r="E106"/>
  <c r="D106"/>
  <c r="E103"/>
  <c r="E102" s="1"/>
  <c r="D103"/>
  <c r="D102" s="1"/>
  <c r="C103"/>
  <c r="C102"/>
  <c r="E98"/>
  <c r="E97" s="1"/>
  <c r="D98"/>
  <c r="D97" s="1"/>
  <c r="C98"/>
  <c r="C97"/>
  <c r="E96"/>
  <c r="D96"/>
  <c r="C96"/>
  <c r="C95" s="1"/>
  <c r="E95"/>
  <c r="D95"/>
  <c r="E93"/>
  <c r="D93"/>
  <c r="C93"/>
  <c r="C92"/>
  <c r="E90"/>
  <c r="D90"/>
  <c r="C90"/>
  <c r="E87"/>
  <c r="D87"/>
  <c r="D86" s="1"/>
  <c r="C87"/>
  <c r="C86" s="1"/>
  <c r="E86"/>
  <c r="C85"/>
  <c r="E83"/>
  <c r="D83"/>
  <c r="C83"/>
  <c r="C80" s="1"/>
  <c r="E80"/>
  <c r="E72" s="1"/>
  <c r="D80"/>
  <c r="E77"/>
  <c r="D77"/>
  <c r="C77"/>
  <c r="E73"/>
  <c r="D73"/>
  <c r="C73"/>
  <c r="C72" s="1"/>
  <c r="E70"/>
  <c r="D70"/>
  <c r="C70"/>
  <c r="E68"/>
  <c r="E67" s="1"/>
  <c r="E66" s="1"/>
  <c r="D68"/>
  <c r="D67" s="1"/>
  <c r="D66" s="1"/>
  <c r="C68"/>
  <c r="C67"/>
  <c r="C66" s="1"/>
  <c r="E64"/>
  <c r="E63" s="1"/>
  <c r="E62" s="1"/>
  <c r="D64"/>
  <c r="D63" s="1"/>
  <c r="D62" s="1"/>
  <c r="C64"/>
  <c r="C63"/>
  <c r="C62"/>
  <c r="E59"/>
  <c r="D59"/>
  <c r="C59"/>
  <c r="C56" s="1"/>
  <c r="C55" s="1"/>
  <c r="E56"/>
  <c r="E55" s="1"/>
  <c r="D56"/>
  <c r="D55"/>
  <c r="E54"/>
  <c r="D54"/>
  <c r="D53" s="1"/>
  <c r="D52" s="1"/>
  <c r="C54"/>
  <c r="C53" s="1"/>
  <c r="C52" s="1"/>
  <c r="E53"/>
  <c r="E52"/>
  <c r="E50"/>
  <c r="E49" s="1"/>
  <c r="D50"/>
  <c r="D49" s="1"/>
  <c r="C50"/>
  <c r="C49"/>
  <c r="E47"/>
  <c r="D47"/>
  <c r="C47"/>
  <c r="E45"/>
  <c r="D45"/>
  <c r="C45"/>
  <c r="E43"/>
  <c r="E42" s="1"/>
  <c r="D43"/>
  <c r="D42" s="1"/>
  <c r="C43"/>
  <c r="C42"/>
  <c r="E39"/>
  <c r="E38" s="1"/>
  <c r="D39"/>
  <c r="C39"/>
  <c r="D38"/>
  <c r="C38"/>
  <c r="E37"/>
  <c r="D37"/>
  <c r="D36" s="1"/>
  <c r="D33" s="1"/>
  <c r="C37"/>
  <c r="C36" s="1"/>
  <c r="E36"/>
  <c r="C35"/>
  <c r="C34" s="1"/>
  <c r="C33" s="1"/>
  <c r="C30" s="1"/>
  <c r="E34"/>
  <c r="D34"/>
  <c r="E33"/>
  <c r="E31"/>
  <c r="E30" s="1"/>
  <c r="D31"/>
  <c r="C31"/>
  <c r="E28"/>
  <c r="D28"/>
  <c r="C28"/>
  <c r="C27"/>
  <c r="C26" s="1"/>
  <c r="C25" s="1"/>
  <c r="E26"/>
  <c r="D26"/>
  <c r="E25"/>
  <c r="D25"/>
  <c r="C24"/>
  <c r="C23" s="1"/>
  <c r="E23"/>
  <c r="D23"/>
  <c r="C22"/>
  <c r="C21" s="1"/>
  <c r="E21"/>
  <c r="D21"/>
  <c r="C20"/>
  <c r="C19" s="1"/>
  <c r="E19"/>
  <c r="D19"/>
  <c r="C18"/>
  <c r="C17" s="1"/>
  <c r="E17"/>
  <c r="E16" s="1"/>
  <c r="E15" s="1"/>
  <c r="D17"/>
  <c r="D16"/>
  <c r="D15" s="1"/>
  <c r="E11"/>
  <c r="D11"/>
  <c r="C11"/>
  <c r="C10" s="1"/>
  <c r="E10"/>
  <c r="D10"/>
  <c r="C41" l="1"/>
  <c r="C9" s="1"/>
  <c r="C16"/>
  <c r="C15" s="1"/>
  <c r="D101"/>
  <c r="D100" s="1"/>
  <c r="D30"/>
  <c r="D41"/>
  <c r="E9"/>
  <c r="E162" s="1"/>
  <c r="E41"/>
  <c r="D72"/>
  <c r="E101"/>
  <c r="E100" s="1"/>
  <c r="C101"/>
  <c r="C100" s="1"/>
  <c r="D9" l="1"/>
  <c r="D162" s="1"/>
  <c r="C162"/>
  <c r="F12" i="170" l="1"/>
  <c r="E12"/>
  <c r="D12"/>
  <c r="E427" i="147"/>
  <c r="F427"/>
  <c r="D427"/>
  <c r="E602" i="155"/>
  <c r="G572" i="154"/>
  <c r="H572"/>
  <c r="F572"/>
  <c r="F396" i="147" l="1"/>
  <c r="F395" s="1"/>
  <c r="F394" s="1"/>
  <c r="E444" i="155"/>
  <c r="E443" s="1"/>
  <c r="F445"/>
  <c r="F444" s="1"/>
  <c r="F443" s="1"/>
  <c r="G445"/>
  <c r="G444" s="1"/>
  <c r="G443" s="1"/>
  <c r="E445"/>
  <c r="D396" i="147" s="1"/>
  <c r="D395" s="1"/>
  <c r="D394" s="1"/>
  <c r="G709" i="154"/>
  <c r="G708" s="1"/>
  <c r="H709"/>
  <c r="H708" s="1"/>
  <c r="F709"/>
  <c r="F708" s="1"/>
  <c r="F108" i="155"/>
  <c r="E385" i="147" s="1"/>
  <c r="E384" s="1"/>
  <c r="E383" s="1"/>
  <c r="E382" s="1"/>
  <c r="G108" i="155"/>
  <c r="G107" s="1"/>
  <c r="G106" s="1"/>
  <c r="G105" s="1"/>
  <c r="E108"/>
  <c r="E107" s="1"/>
  <c r="E106" s="1"/>
  <c r="E105" s="1"/>
  <c r="G79" i="154"/>
  <c r="G78" s="1"/>
  <c r="G77" s="1"/>
  <c r="H79"/>
  <c r="H78" s="1"/>
  <c r="H77" s="1"/>
  <c r="F79"/>
  <c r="F78" s="1"/>
  <c r="F77" s="1"/>
  <c r="F420" i="155"/>
  <c r="E67" i="147" s="1"/>
  <c r="E66" s="1"/>
  <c r="E65" s="1"/>
  <c r="E64" s="1"/>
  <c r="G420" i="155"/>
  <c r="F67" i="147" s="1"/>
  <c r="F66" s="1"/>
  <c r="F65" s="1"/>
  <c r="F64" s="1"/>
  <c r="E420" i="155"/>
  <c r="E419" s="1"/>
  <c r="E418" s="1"/>
  <c r="E417" s="1"/>
  <c r="G684" i="154"/>
  <c r="G683" s="1"/>
  <c r="G682" s="1"/>
  <c r="H684"/>
  <c r="H683" s="1"/>
  <c r="H682" s="1"/>
  <c r="F684"/>
  <c r="F683" s="1"/>
  <c r="F682" s="1"/>
  <c r="E396" i="147" l="1"/>
  <c r="E395" s="1"/>
  <c r="E394" s="1"/>
  <c r="F107" i="155"/>
  <c r="F106" s="1"/>
  <c r="F105" s="1"/>
  <c r="F385" i="147"/>
  <c r="F384" s="1"/>
  <c r="F383" s="1"/>
  <c r="F382" s="1"/>
  <c r="D385"/>
  <c r="D384" s="1"/>
  <c r="D383" s="1"/>
  <c r="D382" s="1"/>
  <c r="G419" i="155"/>
  <c r="G418" s="1"/>
  <c r="G417" s="1"/>
  <c r="F419"/>
  <c r="F418" s="1"/>
  <c r="F417" s="1"/>
  <c r="D67" i="147"/>
  <c r="D66" s="1"/>
  <c r="D65" s="1"/>
  <c r="D64" s="1"/>
  <c r="F330" i="155" l="1"/>
  <c r="F329" s="1"/>
  <c r="F328" s="1"/>
  <c r="G330"/>
  <c r="G329" s="1"/>
  <c r="G328" s="1"/>
  <c r="E330"/>
  <c r="E329" s="1"/>
  <c r="E328" s="1"/>
  <c r="G277" i="154"/>
  <c r="G276" s="1"/>
  <c r="H277"/>
  <c r="H276" s="1"/>
  <c r="F277"/>
  <c r="F276" s="1"/>
  <c r="F563" i="155"/>
  <c r="F562" s="1"/>
  <c r="F561" s="1"/>
  <c r="G563"/>
  <c r="G562" s="1"/>
  <c r="G561" s="1"/>
  <c r="E563"/>
  <c r="E562" s="1"/>
  <c r="E561" s="1"/>
  <c r="G382" i="154"/>
  <c r="G381" s="1"/>
  <c r="H382"/>
  <c r="H381" s="1"/>
  <c r="F382"/>
  <c r="F381" s="1"/>
  <c r="F141" i="155"/>
  <c r="F140" s="1"/>
  <c r="F139" s="1"/>
  <c r="F138" s="1"/>
  <c r="G141"/>
  <c r="G140" s="1"/>
  <c r="G139" s="1"/>
  <c r="G138" s="1"/>
  <c r="E141"/>
  <c r="E140" s="1"/>
  <c r="E139" s="1"/>
  <c r="E138" s="1"/>
  <c r="G545" i="154"/>
  <c r="G544" s="1"/>
  <c r="G543" s="1"/>
  <c r="H545"/>
  <c r="H544" s="1"/>
  <c r="H543" s="1"/>
  <c r="F545"/>
  <c r="F544" s="1"/>
  <c r="F543" s="1"/>
  <c r="F94"/>
  <c r="F98"/>
  <c r="F220"/>
  <c r="F607"/>
  <c r="F516"/>
  <c r="F91"/>
  <c r="F331"/>
  <c r="F86"/>
  <c r="F536"/>
  <c r="F550"/>
  <c r="F213"/>
  <c r="F108"/>
  <c r="F509"/>
  <c r="F527"/>
  <c r="F503"/>
  <c r="F15"/>
  <c r="F776"/>
  <c r="F774"/>
  <c r="F125"/>
  <c r="F123"/>
  <c r="F121"/>
  <c r="F598"/>
  <c r="F596"/>
  <c r="F594"/>
  <c r="F591"/>
  <c r="F648"/>
  <c r="F138"/>
  <c r="F136"/>
  <c r="F145"/>
  <c r="F275"/>
  <c r="F167"/>
  <c r="F294"/>
  <c r="F463"/>
  <c r="F461"/>
  <c r="F465"/>
  <c r="F473"/>
  <c r="F471"/>
  <c r="F475"/>
  <c r="F449"/>
  <c r="F406"/>
  <c r="F356"/>
  <c r="F486"/>
  <c r="F434"/>
  <c r="F432"/>
  <c r="F421"/>
  <c r="F419"/>
  <c r="F639"/>
  <c r="F764"/>
  <c r="F762"/>
  <c r="F310"/>
  <c r="F704"/>
  <c r="F675"/>
  <c r="F636"/>
  <c r="F247"/>
  <c r="F171"/>
  <c r="F394"/>
  <c r="F391"/>
  <c r="F388"/>
  <c r="F373"/>
  <c r="F376"/>
  <c r="F370"/>
  <c r="E317" i="147" l="1"/>
  <c r="E316" s="1"/>
  <c r="E315" s="1"/>
  <c r="D459"/>
  <c r="E132"/>
  <c r="E131" s="1"/>
  <c r="E130" s="1"/>
  <c r="F317"/>
  <c r="F316" s="1"/>
  <c r="F315" s="1"/>
  <c r="D317"/>
  <c r="D316" s="1"/>
  <c r="D315" s="1"/>
  <c r="D132"/>
  <c r="D131" s="1"/>
  <c r="D130" s="1"/>
  <c r="F132"/>
  <c r="F131" s="1"/>
  <c r="F130" s="1"/>
  <c r="E459"/>
  <c r="F459"/>
  <c r="O21" i="170" l="1"/>
  <c r="N21"/>
  <c r="M21"/>
  <c r="L21"/>
  <c r="K21"/>
  <c r="J21"/>
  <c r="I21"/>
  <c r="H21"/>
  <c r="G21"/>
  <c r="F21"/>
  <c r="E21"/>
  <c r="D21"/>
  <c r="O17"/>
  <c r="G17"/>
  <c r="N16"/>
  <c r="M16"/>
  <c r="L16"/>
  <c r="J16"/>
  <c r="I16"/>
  <c r="F16"/>
  <c r="E16"/>
  <c r="D16"/>
  <c r="G16" s="1"/>
  <c r="N15"/>
  <c r="M15"/>
  <c r="L15"/>
  <c r="J15"/>
  <c r="I15"/>
  <c r="F15"/>
  <c r="E15"/>
  <c r="D15"/>
  <c r="G15" s="1"/>
  <c r="M14"/>
  <c r="O14" s="1"/>
  <c r="I14"/>
  <c r="I13" s="1"/>
  <c r="E14"/>
  <c r="G14" s="1"/>
  <c r="N13"/>
  <c r="N12" s="1"/>
  <c r="L13"/>
  <c r="L12" s="1"/>
  <c r="J13"/>
  <c r="J12" s="1"/>
  <c r="H13"/>
  <c r="F13"/>
  <c r="D13"/>
  <c r="H12"/>
  <c r="M11"/>
  <c r="O11" s="1"/>
  <c r="J11"/>
  <c r="J10" s="1"/>
  <c r="I11"/>
  <c r="I10" s="1"/>
  <c r="I9" s="1"/>
  <c r="N10"/>
  <c r="L10"/>
  <c r="L9" s="1"/>
  <c r="H10"/>
  <c r="H9" s="1"/>
  <c r="F10"/>
  <c r="E10"/>
  <c r="N9"/>
  <c r="F9"/>
  <c r="E9"/>
  <c r="N18" l="1"/>
  <c r="F18"/>
  <c r="O15"/>
  <c r="O16"/>
  <c r="M10"/>
  <c r="J9"/>
  <c r="K9" s="1"/>
  <c r="K10"/>
  <c r="K13"/>
  <c r="I12"/>
  <c r="I18" s="1"/>
  <c r="L18"/>
  <c r="K11"/>
  <c r="K14"/>
  <c r="E13"/>
  <c r="M13"/>
  <c r="F232" i="154"/>
  <c r="G283"/>
  <c r="O10" i="170" l="1"/>
  <c r="M9"/>
  <c r="O9" s="1"/>
  <c r="O13"/>
  <c r="M12"/>
  <c r="G13"/>
  <c r="J18"/>
  <c r="K12"/>
  <c r="M18" l="1"/>
  <c r="O12"/>
  <c r="O18" s="1"/>
  <c r="E18"/>
  <c r="G12"/>
  <c r="F283" i="154"/>
  <c r="F58" l="1"/>
  <c r="F70"/>
  <c r="F623" l="1"/>
  <c r="F563" l="1"/>
  <c r="F260" l="1"/>
  <c r="H167" l="1"/>
  <c r="G167"/>
  <c r="F269"/>
  <c r="F324" i="155"/>
  <c r="E311" i="147" s="1"/>
  <c r="E310" s="1"/>
  <c r="E309" s="1"/>
  <c r="G324" i="155"/>
  <c r="F311" i="147" s="1"/>
  <c r="F310" s="1"/>
  <c r="F309" s="1"/>
  <c r="E324" i="155"/>
  <c r="D311" i="147" s="1"/>
  <c r="D310" s="1"/>
  <c r="D309" s="1"/>
  <c r="H271" i="154"/>
  <c r="H270" s="1"/>
  <c r="G271"/>
  <c r="G270" s="1"/>
  <c r="F271"/>
  <c r="F270" s="1"/>
  <c r="E25" i="169"/>
  <c r="D25"/>
  <c r="D24" s="1"/>
  <c r="D23" s="1"/>
  <c r="C24"/>
  <c r="C23" s="1"/>
  <c r="E24"/>
  <c r="E23" s="1"/>
  <c r="E22"/>
  <c r="E21" s="1"/>
  <c r="E20" s="1"/>
  <c r="E19" s="1"/>
  <c r="E26" s="1"/>
  <c r="D22"/>
  <c r="D21" s="1"/>
  <c r="D20" s="1"/>
  <c r="D19" s="1"/>
  <c r="D26" s="1"/>
  <c r="C21"/>
  <c r="C20" s="1"/>
  <c r="E16"/>
  <c r="D16"/>
  <c r="D12" s="1"/>
  <c r="C16"/>
  <c r="C12" s="1"/>
  <c r="E13"/>
  <c r="D13"/>
  <c r="C13"/>
  <c r="E12"/>
  <c r="C19" l="1"/>
  <c r="C26" s="1"/>
  <c r="G323" i="155"/>
  <c r="G322" s="1"/>
  <c r="F323"/>
  <c r="F322" s="1"/>
  <c r="E323"/>
  <c r="E322" s="1"/>
  <c r="F253" i="154"/>
  <c r="F250"/>
  <c r="F642" l="1"/>
  <c r="F698" l="1"/>
  <c r="E305" i="155"/>
  <c r="E299"/>
  <c r="F131"/>
  <c r="G131"/>
  <c r="E131"/>
  <c r="G606" i="154"/>
  <c r="G605" s="1"/>
  <c r="G604" s="1"/>
  <c r="G603" s="1"/>
  <c r="G602" s="1"/>
  <c r="G601" s="1"/>
  <c r="G600" s="1"/>
  <c r="H606"/>
  <c r="H605" s="1"/>
  <c r="H604" s="1"/>
  <c r="H603" s="1"/>
  <c r="H602" s="1"/>
  <c r="H601" s="1"/>
  <c r="H600" s="1"/>
  <c r="F606"/>
  <c r="F605" s="1"/>
  <c r="F604" s="1"/>
  <c r="F603" s="1"/>
  <c r="F602" s="1"/>
  <c r="F601" s="1"/>
  <c r="F600" s="1"/>
  <c r="G519"/>
  <c r="G518" s="1"/>
  <c r="G517" s="1"/>
  <c r="H519"/>
  <c r="H518" s="1"/>
  <c r="H517" s="1"/>
  <c r="F519"/>
  <c r="F518" s="1"/>
  <c r="F517" s="1"/>
  <c r="F195"/>
  <c r="F174"/>
  <c r="F177"/>
  <c r="F239" l="1"/>
  <c r="F266"/>
  <c r="F678"/>
  <c r="F707"/>
  <c r="F469" i="155"/>
  <c r="F468" s="1"/>
  <c r="F467" s="1"/>
  <c r="G469"/>
  <c r="G468" s="1"/>
  <c r="G467" s="1"/>
  <c r="E469"/>
  <c r="E468" s="1"/>
  <c r="E467" s="1"/>
  <c r="F460"/>
  <c r="F459" s="1"/>
  <c r="F458" s="1"/>
  <c r="G460"/>
  <c r="G459" s="1"/>
  <c r="G458" s="1"/>
  <c r="E460"/>
  <c r="E459" s="1"/>
  <c r="E458" s="1"/>
  <c r="F399"/>
  <c r="G399"/>
  <c r="E399"/>
  <c r="F393"/>
  <c r="F392" s="1"/>
  <c r="F391" s="1"/>
  <c r="G393"/>
  <c r="G392" s="1"/>
  <c r="G391" s="1"/>
  <c r="E393"/>
  <c r="E392" s="1"/>
  <c r="E391" s="1"/>
  <c r="F352"/>
  <c r="F351" s="1"/>
  <c r="F350" s="1"/>
  <c r="G352"/>
  <c r="G351" s="1"/>
  <c r="G350" s="1"/>
  <c r="E352"/>
  <c r="E351" s="1"/>
  <c r="E350" s="1"/>
  <c r="F346"/>
  <c r="G346"/>
  <c r="E346"/>
  <c r="H663" i="154"/>
  <c r="H662" s="1"/>
  <c r="G663"/>
  <c r="G662" s="1"/>
  <c r="F663"/>
  <c r="F662" s="1"/>
  <c r="G657"/>
  <c r="G656" s="1"/>
  <c r="H657"/>
  <c r="H656" s="1"/>
  <c r="F657"/>
  <c r="F656" s="1"/>
  <c r="G631"/>
  <c r="G630" s="1"/>
  <c r="H631"/>
  <c r="H630" s="1"/>
  <c r="F631"/>
  <c r="F630" s="1"/>
  <c r="G625"/>
  <c r="G624" s="1"/>
  <c r="H625"/>
  <c r="H624" s="1"/>
  <c r="F625"/>
  <c r="F624" s="1"/>
  <c r="G733"/>
  <c r="G732" s="1"/>
  <c r="H733"/>
  <c r="H732" s="1"/>
  <c r="F733"/>
  <c r="F732" s="1"/>
  <c r="H724"/>
  <c r="H723" s="1"/>
  <c r="G724"/>
  <c r="G723" s="1"/>
  <c r="F724"/>
  <c r="F723" s="1"/>
  <c r="G318"/>
  <c r="G317" s="1"/>
  <c r="H318"/>
  <c r="H317" s="1"/>
  <c r="F318"/>
  <c r="F317" s="1"/>
  <c r="G309"/>
  <c r="G308" s="1"/>
  <c r="H309"/>
  <c r="H308" s="1"/>
  <c r="F309"/>
  <c r="F308" s="1"/>
  <c r="E345" i="155" l="1"/>
  <c r="E344" s="1"/>
  <c r="D19" i="147"/>
  <c r="D18" s="1"/>
  <c r="D17" s="1"/>
  <c r="G345" i="155"/>
  <c r="G344" s="1"/>
  <c r="F19" i="147"/>
  <c r="F18" s="1"/>
  <c r="F17" s="1"/>
  <c r="E398" i="155"/>
  <c r="E397" s="1"/>
  <c r="D25" i="147"/>
  <c r="D24" s="1"/>
  <c r="D23" s="1"/>
  <c r="F345" i="155"/>
  <c r="F344" s="1"/>
  <c r="E19" i="147"/>
  <c r="E18" s="1"/>
  <c r="E17" s="1"/>
  <c r="G398" i="155"/>
  <c r="G397" s="1"/>
  <c r="F25" i="147"/>
  <c r="F24" s="1"/>
  <c r="F23" s="1"/>
  <c r="F398" i="155"/>
  <c r="F397" s="1"/>
  <c r="E25" i="147"/>
  <c r="E24" s="1"/>
  <c r="E23" s="1"/>
  <c r="D75"/>
  <c r="D74" s="1"/>
  <c r="D73" s="1"/>
  <c r="F75"/>
  <c r="F74" s="1"/>
  <c r="F73" s="1"/>
  <c r="E75"/>
  <c r="E74" s="1"/>
  <c r="E73" s="1"/>
  <c r="D84"/>
  <c r="D83" s="1"/>
  <c r="D82" s="1"/>
  <c r="E84"/>
  <c r="E83" s="1"/>
  <c r="E82" s="1"/>
  <c r="F84"/>
  <c r="F83" s="1"/>
  <c r="F82" s="1"/>
  <c r="F715" i="154" l="1"/>
  <c r="F299" i="155" l="1"/>
  <c r="E286" i="147" s="1"/>
  <c r="E285" s="1"/>
  <c r="E284" s="1"/>
  <c r="G299" i="155"/>
  <c r="F286" i="147" s="1"/>
  <c r="F285" s="1"/>
  <c r="F284" s="1"/>
  <c r="G246" i="154"/>
  <c r="G245" s="1"/>
  <c r="H246"/>
  <c r="H245" s="1"/>
  <c r="F246"/>
  <c r="F245" s="1"/>
  <c r="G298" i="155" l="1"/>
  <c r="G297" s="1"/>
  <c r="F298"/>
  <c r="F297" s="1"/>
  <c r="G641" i="154" l="1"/>
  <c r="G640" s="1"/>
  <c r="H641"/>
  <c r="H640" s="1"/>
  <c r="F641"/>
  <c r="F640" s="1"/>
  <c r="F615"/>
  <c r="G596"/>
  <c r="F356" i="155"/>
  <c r="F355" s="1"/>
  <c r="F354" s="1"/>
  <c r="G356"/>
  <c r="F54" i="147" s="1"/>
  <c r="F53" s="1"/>
  <c r="F52" s="1"/>
  <c r="E356" i="155"/>
  <c r="D54" i="147" s="1"/>
  <c r="D53" s="1"/>
  <c r="D52" s="1"/>
  <c r="G635" i="154"/>
  <c r="G634" s="1"/>
  <c r="H635"/>
  <c r="H634" s="1"/>
  <c r="F635"/>
  <c r="F634" s="1"/>
  <c r="F751"/>
  <c r="F153"/>
  <c r="F263"/>
  <c r="F236"/>
  <c r="F302" i="155"/>
  <c r="F301" s="1"/>
  <c r="F300" s="1"/>
  <c r="G302"/>
  <c r="G301" s="1"/>
  <c r="G300" s="1"/>
  <c r="E302"/>
  <c r="D289" i="147" s="1"/>
  <c r="D288" s="1"/>
  <c r="D287" s="1"/>
  <c r="G249" i="154"/>
  <c r="G248" s="1"/>
  <c r="H249"/>
  <c r="H248" s="1"/>
  <c r="F249"/>
  <c r="F248" s="1"/>
  <c r="F289" i="147" l="1"/>
  <c r="F288" s="1"/>
  <c r="F287" s="1"/>
  <c r="E355" i="155"/>
  <c r="E354" s="1"/>
  <c r="G355"/>
  <c r="G354" s="1"/>
  <c r="E54" i="147"/>
  <c r="E53" s="1"/>
  <c r="E52" s="1"/>
  <c r="E301" i="155"/>
  <c r="E300" s="1"/>
  <c r="E289" i="147"/>
  <c r="E288" s="1"/>
  <c r="E287" s="1"/>
  <c r="F232" i="155" l="1"/>
  <c r="F231" s="1"/>
  <c r="F230" s="1"/>
  <c r="G232"/>
  <c r="F357" i="147" s="1"/>
  <c r="F356" s="1"/>
  <c r="F355" s="1"/>
  <c r="E232" i="155"/>
  <c r="D357" i="147" s="1"/>
  <c r="D356" s="1"/>
  <c r="D355" s="1"/>
  <c r="G191" i="154"/>
  <c r="G190" s="1"/>
  <c r="H191"/>
  <c r="H190" s="1"/>
  <c r="F191"/>
  <c r="F190" s="1"/>
  <c r="F224" i="155"/>
  <c r="E349" i="147" s="1"/>
  <c r="E348" s="1"/>
  <c r="E347" s="1"/>
  <c r="G224" i="155"/>
  <c r="F349" i="147" s="1"/>
  <c r="F348" s="1"/>
  <c r="F347" s="1"/>
  <c r="E224" i="155"/>
  <c r="E223" s="1"/>
  <c r="E222" s="1"/>
  <c r="G183" i="154"/>
  <c r="G182" s="1"/>
  <c r="H183"/>
  <c r="H182" s="1"/>
  <c r="F183"/>
  <c r="F182" s="1"/>
  <c r="G263"/>
  <c r="G260"/>
  <c r="G441"/>
  <c r="G486"/>
  <c r="D286" i="147" l="1"/>
  <c r="D285" s="1"/>
  <c r="D284" s="1"/>
  <c r="E298" i="155"/>
  <c r="E297" s="1"/>
  <c r="E357" i="147"/>
  <c r="E356" s="1"/>
  <c r="E355" s="1"/>
  <c r="G231" i="155"/>
  <c r="G230" s="1"/>
  <c r="E231"/>
  <c r="E230" s="1"/>
  <c r="F223"/>
  <c r="F222" s="1"/>
  <c r="D349" i="147"/>
  <c r="D348" s="1"/>
  <c r="D347" s="1"/>
  <c r="G223" i="155"/>
  <c r="G222" s="1"/>
  <c r="F362" l="1"/>
  <c r="E57" i="147" s="1"/>
  <c r="E56" s="1"/>
  <c r="E55" s="1"/>
  <c r="G362" i="155"/>
  <c r="F57" i="147" s="1"/>
  <c r="F56" s="1"/>
  <c r="F55" s="1"/>
  <c r="E362" i="155"/>
  <c r="D57" i="147" s="1"/>
  <c r="D56" s="1"/>
  <c r="D55" s="1"/>
  <c r="G361" i="155" l="1"/>
  <c r="G360" s="1"/>
  <c r="E361"/>
  <c r="E360" s="1"/>
  <c r="F361"/>
  <c r="F360" s="1"/>
  <c r="F591" l="1"/>
  <c r="F590" s="1"/>
  <c r="F589" s="1"/>
  <c r="F588" s="1"/>
  <c r="F587" s="1"/>
  <c r="G591"/>
  <c r="G590" s="1"/>
  <c r="G589" s="1"/>
  <c r="G588" s="1"/>
  <c r="G587" s="1"/>
  <c r="E591"/>
  <c r="E590" s="1"/>
  <c r="E589" s="1"/>
  <c r="E588" s="1"/>
  <c r="E587" s="1"/>
  <c r="G410" i="154"/>
  <c r="G409" s="1"/>
  <c r="G408" s="1"/>
  <c r="G407" s="1"/>
  <c r="H410"/>
  <c r="H409" s="1"/>
  <c r="H408" s="1"/>
  <c r="H407" s="1"/>
  <c r="F410"/>
  <c r="F409" s="1"/>
  <c r="F408" s="1"/>
  <c r="F407" s="1"/>
  <c r="F450" i="155"/>
  <c r="G450"/>
  <c r="G449" s="1"/>
  <c r="G448" s="1"/>
  <c r="G447" s="1"/>
  <c r="G446" s="1"/>
  <c r="E450"/>
  <c r="E449" s="1"/>
  <c r="E448" s="1"/>
  <c r="E447" s="1"/>
  <c r="E446" s="1"/>
  <c r="G714" i="154"/>
  <c r="G713" s="1"/>
  <c r="G712" s="1"/>
  <c r="G711" s="1"/>
  <c r="H714"/>
  <c r="H713" s="1"/>
  <c r="H712" s="1"/>
  <c r="H711" s="1"/>
  <c r="F714"/>
  <c r="F713" s="1"/>
  <c r="F712" s="1"/>
  <c r="F711" s="1"/>
  <c r="F473" i="155"/>
  <c r="F472" s="1"/>
  <c r="F471" s="1"/>
  <c r="F470" s="1"/>
  <c r="G473"/>
  <c r="G472" s="1"/>
  <c r="G471" s="1"/>
  <c r="G470" s="1"/>
  <c r="E474"/>
  <c r="E473" s="1"/>
  <c r="E472" s="1"/>
  <c r="E471" s="1"/>
  <c r="E470" s="1"/>
  <c r="H738" i="154"/>
  <c r="H737" s="1"/>
  <c r="H736" s="1"/>
  <c r="H735" s="1"/>
  <c r="G738"/>
  <c r="G737" s="1"/>
  <c r="G736" s="1"/>
  <c r="G735" s="1"/>
  <c r="F738"/>
  <c r="F737" s="1"/>
  <c r="F736" s="1"/>
  <c r="F735" s="1"/>
  <c r="G323"/>
  <c r="G322" s="1"/>
  <c r="G321" s="1"/>
  <c r="G320" s="1"/>
  <c r="H323"/>
  <c r="H322" s="1"/>
  <c r="H321" s="1"/>
  <c r="H320" s="1"/>
  <c r="F323"/>
  <c r="F322" s="1"/>
  <c r="F321" s="1"/>
  <c r="F320" s="1"/>
  <c r="E463" i="147" l="1"/>
  <c r="E462" s="1"/>
  <c r="E461" s="1"/>
  <c r="E460" s="1"/>
  <c r="D463"/>
  <c r="D462" s="1"/>
  <c r="D461" s="1"/>
  <c r="D460" s="1"/>
  <c r="F463"/>
  <c r="F462" s="1"/>
  <c r="F461" s="1"/>
  <c r="F460" s="1"/>
  <c r="F449" i="155"/>
  <c r="F448" s="1"/>
  <c r="F447" s="1"/>
  <c r="F446" s="1"/>
  <c r="F441" i="154" l="1"/>
  <c r="F681" i="155"/>
  <c r="F680" s="1"/>
  <c r="F679" s="1"/>
  <c r="G681"/>
  <c r="G680" s="1"/>
  <c r="G679" s="1"/>
  <c r="E681"/>
  <c r="D209" i="147" s="1"/>
  <c r="D208" s="1"/>
  <c r="D207" s="1"/>
  <c r="G482" i="154"/>
  <c r="G481" s="1"/>
  <c r="H482"/>
  <c r="H481" s="1"/>
  <c r="F482"/>
  <c r="F481" s="1"/>
  <c r="F402"/>
  <c r="F466" i="155"/>
  <c r="F465" s="1"/>
  <c r="F464" s="1"/>
  <c r="G466"/>
  <c r="F81" i="147" s="1"/>
  <c r="F80" s="1"/>
  <c r="F79" s="1"/>
  <c r="E466" i="155"/>
  <c r="D81" i="147" s="1"/>
  <c r="D80" s="1"/>
  <c r="D79" s="1"/>
  <c r="F457" i="155"/>
  <c r="E72" i="147" s="1"/>
  <c r="E71" s="1"/>
  <c r="E70" s="1"/>
  <c r="G457" i="155"/>
  <c r="G456" s="1"/>
  <c r="G455" s="1"/>
  <c r="E457"/>
  <c r="E456" s="1"/>
  <c r="E455" s="1"/>
  <c r="G306" i="154"/>
  <c r="G305" s="1"/>
  <c r="H306"/>
  <c r="H305" s="1"/>
  <c r="F306"/>
  <c r="F305" s="1"/>
  <c r="G315"/>
  <c r="G314" s="1"/>
  <c r="H315"/>
  <c r="H314" s="1"/>
  <c r="F315"/>
  <c r="F314" s="1"/>
  <c r="G730"/>
  <c r="G729" s="1"/>
  <c r="H730"/>
  <c r="H729" s="1"/>
  <c r="F730"/>
  <c r="F729" s="1"/>
  <c r="G721"/>
  <c r="G720" s="1"/>
  <c r="H721"/>
  <c r="H720" s="1"/>
  <c r="F721"/>
  <c r="F720" s="1"/>
  <c r="E209" i="147" l="1"/>
  <c r="E208" s="1"/>
  <c r="E207" s="1"/>
  <c r="F209"/>
  <c r="F208" s="1"/>
  <c r="F207" s="1"/>
  <c r="D72"/>
  <c r="D71" s="1"/>
  <c r="D70" s="1"/>
  <c r="E680" i="155"/>
  <c r="E679" s="1"/>
  <c r="E465"/>
  <c r="E464" s="1"/>
  <c r="F456"/>
  <c r="F455" s="1"/>
  <c r="G465"/>
  <c r="G464" s="1"/>
  <c r="E81" i="147"/>
  <c r="E80" s="1"/>
  <c r="E79" s="1"/>
  <c r="F72"/>
  <c r="F71" s="1"/>
  <c r="F70" s="1"/>
  <c r="F568" i="155" l="1"/>
  <c r="E137" i="147" s="1"/>
  <c r="E136" s="1"/>
  <c r="E135" s="1"/>
  <c r="G568" i="155"/>
  <c r="G567" s="1"/>
  <c r="G566" s="1"/>
  <c r="F574"/>
  <c r="E143" i="147" s="1"/>
  <c r="E142" s="1"/>
  <c r="E141" s="1"/>
  <c r="G574" i="155"/>
  <c r="G573" s="1"/>
  <c r="G572" s="1"/>
  <c r="E574"/>
  <c r="E573" s="1"/>
  <c r="E572" s="1"/>
  <c r="E568"/>
  <c r="E567" s="1"/>
  <c r="E566" s="1"/>
  <c r="G393" i="154"/>
  <c r="G392" s="1"/>
  <c r="H393"/>
  <c r="H392" s="1"/>
  <c r="F393"/>
  <c r="F392" s="1"/>
  <c r="G387"/>
  <c r="G386" s="1"/>
  <c r="H387"/>
  <c r="H386" s="1"/>
  <c r="F387"/>
  <c r="F386" s="1"/>
  <c r="F556" i="155"/>
  <c r="E125" i="147" s="1"/>
  <c r="E124" s="1"/>
  <c r="E123" s="1"/>
  <c r="G556" i="155"/>
  <c r="G555" s="1"/>
  <c r="G554" s="1"/>
  <c r="E556"/>
  <c r="D125" i="147" s="1"/>
  <c r="D124" s="1"/>
  <c r="D123" s="1"/>
  <c r="F550" i="155"/>
  <c r="F549" s="1"/>
  <c r="F548" s="1"/>
  <c r="G550"/>
  <c r="G549" s="1"/>
  <c r="G548" s="1"/>
  <c r="E550"/>
  <c r="D119" i="147" s="1"/>
  <c r="D118" s="1"/>
  <c r="D117" s="1"/>
  <c r="G375" i="154"/>
  <c r="G374" s="1"/>
  <c r="H375"/>
  <c r="H374" s="1"/>
  <c r="F375"/>
  <c r="F374" s="1"/>
  <c r="G369"/>
  <c r="G368" s="1"/>
  <c r="H369"/>
  <c r="H368" s="1"/>
  <c r="F369"/>
  <c r="F368" s="1"/>
  <c r="F567" i="155" l="1"/>
  <c r="F566" s="1"/>
  <c r="F573"/>
  <c r="F572" s="1"/>
  <c r="F143" i="147"/>
  <c r="F142" s="1"/>
  <c r="F141" s="1"/>
  <c r="F137"/>
  <c r="F136" s="1"/>
  <c r="F135" s="1"/>
  <c r="D143"/>
  <c r="D142" s="1"/>
  <c r="D141" s="1"/>
  <c r="D137"/>
  <c r="D136" s="1"/>
  <c r="D135" s="1"/>
  <c r="F119"/>
  <c r="F118" s="1"/>
  <c r="F117" s="1"/>
  <c r="E119"/>
  <c r="E118" s="1"/>
  <c r="E117" s="1"/>
  <c r="E549" i="155"/>
  <c r="E548" s="1"/>
  <c r="F125" i="147"/>
  <c r="F124" s="1"/>
  <c r="F123" s="1"/>
  <c r="E555" i="155"/>
  <c r="E554" s="1"/>
  <c r="F555"/>
  <c r="F554" s="1"/>
  <c r="F690" i="154" l="1"/>
  <c r="F309" i="155" l="1"/>
  <c r="E296" i="147" s="1"/>
  <c r="E295" s="1"/>
  <c r="E294" s="1"/>
  <c r="G309" i="155"/>
  <c r="F296" i="147" s="1"/>
  <c r="F295" s="1"/>
  <c r="F294" s="1"/>
  <c r="E309" i="155"/>
  <c r="D296" i="147" s="1"/>
  <c r="D295" s="1"/>
  <c r="D294" s="1"/>
  <c r="G256" i="154"/>
  <c r="G255" s="1"/>
  <c r="H256"/>
  <c r="H255" s="1"/>
  <c r="F256"/>
  <c r="F255" s="1"/>
  <c r="E308" i="155" l="1"/>
  <c r="E307" s="1"/>
  <c r="G308"/>
  <c r="G307" s="1"/>
  <c r="F308"/>
  <c r="F307" s="1"/>
  <c r="F117" l="1"/>
  <c r="G117"/>
  <c r="F119"/>
  <c r="F118" s="1"/>
  <c r="G119"/>
  <c r="G118" s="1"/>
  <c r="E119"/>
  <c r="D420" i="147" s="1"/>
  <c r="D419" s="1"/>
  <c r="E117" i="155"/>
  <c r="G540" i="154"/>
  <c r="H540"/>
  <c r="F540"/>
  <c r="F66" i="155"/>
  <c r="F65" s="1"/>
  <c r="F64" s="1"/>
  <c r="F63" s="1"/>
  <c r="F62" s="1"/>
  <c r="F61" s="1"/>
  <c r="D14" i="143" s="1"/>
  <c r="G66" i="155"/>
  <c r="G65" s="1"/>
  <c r="G64" s="1"/>
  <c r="G63" s="1"/>
  <c r="G62" s="1"/>
  <c r="G61" s="1"/>
  <c r="E14" i="143" s="1"/>
  <c r="E66" i="155"/>
  <c r="E65" s="1"/>
  <c r="E64" s="1"/>
  <c r="E63" s="1"/>
  <c r="E62" s="1"/>
  <c r="E61" s="1"/>
  <c r="C14" i="143" s="1"/>
  <c r="G549" i="154"/>
  <c r="G548" s="1"/>
  <c r="H549"/>
  <c r="H548" s="1"/>
  <c r="H547" s="1"/>
  <c r="F549"/>
  <c r="F548" s="1"/>
  <c r="G43"/>
  <c r="G42" s="1"/>
  <c r="G41" s="1"/>
  <c r="G40" s="1"/>
  <c r="G39" s="1"/>
  <c r="H43"/>
  <c r="H42" s="1"/>
  <c r="H41" s="1"/>
  <c r="H40" s="1"/>
  <c r="H39" s="1"/>
  <c r="F43"/>
  <c r="F42" s="1"/>
  <c r="F41" s="1"/>
  <c r="F40" s="1"/>
  <c r="F39" s="1"/>
  <c r="E420" i="147" l="1"/>
  <c r="E419" s="1"/>
  <c r="E118" i="155"/>
  <c r="F420" i="147"/>
  <c r="F419" s="1"/>
  <c r="F547" i="154"/>
  <c r="E145" i="155"/>
  <c r="G547" i="154"/>
  <c r="F145" i="155"/>
  <c r="G145"/>
  <c r="F467" i="147"/>
  <c r="F466" s="1"/>
  <c r="F465" s="1"/>
  <c r="D467"/>
  <c r="D466" s="1"/>
  <c r="D465" s="1"/>
  <c r="E467"/>
  <c r="E466" s="1"/>
  <c r="E465" s="1"/>
  <c r="F187" i="154" l="1"/>
  <c r="F246" i="155"/>
  <c r="F245" s="1"/>
  <c r="F244" s="1"/>
  <c r="F243" s="1"/>
  <c r="G246"/>
  <c r="G245" s="1"/>
  <c r="G244" s="1"/>
  <c r="G243" s="1"/>
  <c r="E246"/>
  <c r="E245" s="1"/>
  <c r="E244" s="1"/>
  <c r="E243" s="1"/>
  <c r="G205" i="154"/>
  <c r="G204" s="1"/>
  <c r="G203" s="1"/>
  <c r="H205"/>
  <c r="H204" s="1"/>
  <c r="H203" s="1"/>
  <c r="F205"/>
  <c r="F204" s="1"/>
  <c r="F203" s="1"/>
  <c r="D371" i="147" l="1"/>
  <c r="D370" s="1"/>
  <c r="D369" s="1"/>
  <c r="D368" s="1"/>
  <c r="F371"/>
  <c r="F370" s="1"/>
  <c r="F369" s="1"/>
  <c r="F368" s="1"/>
  <c r="E371"/>
  <c r="E370" s="1"/>
  <c r="E369" s="1"/>
  <c r="E368" s="1"/>
  <c r="F416" i="155"/>
  <c r="F415" s="1"/>
  <c r="F414" s="1"/>
  <c r="G416"/>
  <c r="G415" s="1"/>
  <c r="G414" s="1"/>
  <c r="E416"/>
  <c r="E415" s="1"/>
  <c r="E414" s="1"/>
  <c r="G680" i="154"/>
  <c r="G679" s="1"/>
  <c r="H680"/>
  <c r="H679" s="1"/>
  <c r="F680"/>
  <c r="F679" s="1"/>
  <c r="F410" i="155" l="1"/>
  <c r="F409" s="1"/>
  <c r="F408" s="1"/>
  <c r="G410"/>
  <c r="F51" i="147" s="1"/>
  <c r="F50" s="1"/>
  <c r="F49" s="1"/>
  <c r="E410" i="155"/>
  <c r="D51" i="147" s="1"/>
  <c r="D50" s="1"/>
  <c r="D49" s="1"/>
  <c r="G674" i="154"/>
  <c r="G673" s="1"/>
  <c r="H674"/>
  <c r="H673" s="1"/>
  <c r="F674"/>
  <c r="F673" s="1"/>
  <c r="F439" i="155"/>
  <c r="F438" s="1"/>
  <c r="F437" s="1"/>
  <c r="G439"/>
  <c r="F390" i="147" s="1"/>
  <c r="F389" s="1"/>
  <c r="F388" s="1"/>
  <c r="E439" i="155"/>
  <c r="D390" i="147" s="1"/>
  <c r="D389" s="1"/>
  <c r="D388" s="1"/>
  <c r="G703" i="154"/>
  <c r="G702" s="1"/>
  <c r="H703"/>
  <c r="H702" s="1"/>
  <c r="F703"/>
  <c r="F702" s="1"/>
  <c r="E409" i="155" l="1"/>
  <c r="E408" s="1"/>
  <c r="E51" i="147"/>
  <c r="E50" s="1"/>
  <c r="E49" s="1"/>
  <c r="G409" i="155"/>
  <c r="G408" s="1"/>
  <c r="G438"/>
  <c r="G437" s="1"/>
  <c r="E438"/>
  <c r="E437" s="1"/>
  <c r="E390" i="147"/>
  <c r="E389" s="1"/>
  <c r="E388" s="1"/>
  <c r="F655" i="155" l="1"/>
  <c r="G655"/>
  <c r="G654" s="1"/>
  <c r="G653" s="1"/>
  <c r="G652" s="1"/>
  <c r="E655"/>
  <c r="E654" s="1"/>
  <c r="E653" s="1"/>
  <c r="E652" s="1"/>
  <c r="G456" i="154"/>
  <c r="G455" s="1"/>
  <c r="G454" s="1"/>
  <c r="H456"/>
  <c r="H455" s="1"/>
  <c r="H454" s="1"/>
  <c r="F456"/>
  <c r="F455" s="1"/>
  <c r="F454" s="1"/>
  <c r="G475"/>
  <c r="G473"/>
  <c r="G471"/>
  <c r="G468"/>
  <c r="G465"/>
  <c r="G463"/>
  <c r="G461"/>
  <c r="G453"/>
  <c r="G428"/>
  <c r="G406"/>
  <c r="E168" i="147" l="1"/>
  <c r="E167" s="1"/>
  <c r="E166" s="1"/>
  <c r="E165" s="1"/>
  <c r="H17" i="170"/>
  <c r="F654" i="155"/>
  <c r="F653" s="1"/>
  <c r="F652" s="1"/>
  <c r="D168" i="147"/>
  <c r="D167" s="1"/>
  <c r="D166" s="1"/>
  <c r="D165" s="1"/>
  <c r="F168"/>
  <c r="F167" s="1"/>
  <c r="F166" s="1"/>
  <c r="F165" s="1"/>
  <c r="F534" i="155"/>
  <c r="F533" s="1"/>
  <c r="F532" s="1"/>
  <c r="F531" s="1"/>
  <c r="G534"/>
  <c r="G533" s="1"/>
  <c r="G532" s="1"/>
  <c r="G531" s="1"/>
  <c r="E534"/>
  <c r="D113" i="147" s="1"/>
  <c r="D112" s="1"/>
  <c r="D111" s="1"/>
  <c r="D110" s="1"/>
  <c r="G767" i="154"/>
  <c r="G766" s="1"/>
  <c r="G765" s="1"/>
  <c r="H767"/>
  <c r="H766" s="1"/>
  <c r="H765" s="1"/>
  <c r="F767"/>
  <c r="F766" s="1"/>
  <c r="F765" s="1"/>
  <c r="K17" i="170" l="1"/>
  <c r="H16"/>
  <c r="E113" i="147"/>
  <c r="E112" s="1"/>
  <c r="E111" s="1"/>
  <c r="E110" s="1"/>
  <c r="E533" i="155"/>
  <c r="E532" s="1"/>
  <c r="E531" s="1"/>
  <c r="F113" i="147"/>
  <c r="F112" s="1"/>
  <c r="F111" s="1"/>
  <c r="F110" s="1"/>
  <c r="K16" i="170" l="1"/>
  <c r="H15"/>
  <c r="F582" i="155"/>
  <c r="F581" s="1"/>
  <c r="F580" s="1"/>
  <c r="F579" s="1"/>
  <c r="G582"/>
  <c r="G581" s="1"/>
  <c r="G580" s="1"/>
  <c r="G579" s="1"/>
  <c r="E582"/>
  <c r="E581" s="1"/>
  <c r="E580" s="1"/>
  <c r="E579" s="1"/>
  <c r="G401" i="154"/>
  <c r="G400" s="1"/>
  <c r="G399" s="1"/>
  <c r="H401"/>
  <c r="H400" s="1"/>
  <c r="H399" s="1"/>
  <c r="F401"/>
  <c r="F400" s="1"/>
  <c r="F399" s="1"/>
  <c r="K15" i="170" l="1"/>
  <c r="K18" s="1"/>
  <c r="H18"/>
  <c r="F151" i="147"/>
  <c r="F150" s="1"/>
  <c r="F149" s="1"/>
  <c r="F148" s="1"/>
  <c r="D151"/>
  <c r="D150" s="1"/>
  <c r="D149" s="1"/>
  <c r="D148" s="1"/>
  <c r="E151"/>
  <c r="E150" s="1"/>
  <c r="E149" s="1"/>
  <c r="E148" s="1"/>
  <c r="F490" i="155"/>
  <c r="F489" s="1"/>
  <c r="G490"/>
  <c r="F44" i="147" s="1"/>
  <c r="F43" s="1"/>
  <c r="E490" i="155"/>
  <c r="D44" i="147" s="1"/>
  <c r="D43" s="1"/>
  <c r="G337" i="154"/>
  <c r="G336" s="1"/>
  <c r="G335" s="1"/>
  <c r="G334" s="1"/>
  <c r="H337"/>
  <c r="H336" s="1"/>
  <c r="H335" s="1"/>
  <c r="H334" s="1"/>
  <c r="F337"/>
  <c r="F336" s="1"/>
  <c r="F335" s="1"/>
  <c r="F334" s="1"/>
  <c r="F488" i="155"/>
  <c r="E42" i="147" s="1"/>
  <c r="E41" s="1"/>
  <c r="G488" i="155"/>
  <c r="G487" s="1"/>
  <c r="E488"/>
  <c r="E487" s="1"/>
  <c r="G489" l="1"/>
  <c r="G486" s="1"/>
  <c r="F42" i="147"/>
  <c r="F41" s="1"/>
  <c r="F40" s="1"/>
  <c r="F487" i="155"/>
  <c r="F486" s="1"/>
  <c r="E44" i="147"/>
  <c r="E43" s="1"/>
  <c r="E40" s="1"/>
  <c r="D42"/>
  <c r="D41" s="1"/>
  <c r="D40" s="1"/>
  <c r="E489" i="155"/>
  <c r="E486" s="1"/>
  <c r="F745" i="154" l="1"/>
  <c r="G747"/>
  <c r="H747"/>
  <c r="F747"/>
  <c r="G745"/>
  <c r="H745"/>
  <c r="F430" i="155"/>
  <c r="E89" i="147" s="1"/>
  <c r="E88" s="1"/>
  <c r="E87" s="1"/>
  <c r="G430" i="155"/>
  <c r="F89" i="147" s="1"/>
  <c r="F88" s="1"/>
  <c r="F87" s="1"/>
  <c r="E430" i="155"/>
  <c r="D89" i="147" s="1"/>
  <c r="D88" s="1"/>
  <c r="D87" s="1"/>
  <c r="G744" i="154" l="1"/>
  <c r="H744"/>
  <c r="F744"/>
  <c r="G429" i="155"/>
  <c r="G428" s="1"/>
  <c r="F429"/>
  <c r="F428" s="1"/>
  <c r="E429"/>
  <c r="E428" s="1"/>
  <c r="G694" i="154"/>
  <c r="G693" s="1"/>
  <c r="H694"/>
  <c r="H693" s="1"/>
  <c r="F694"/>
  <c r="F693" s="1"/>
  <c r="F239" i="155"/>
  <c r="E364" i="147" s="1"/>
  <c r="E363" s="1"/>
  <c r="E362" s="1"/>
  <c r="G239" i="155"/>
  <c r="F364" i="147" s="1"/>
  <c r="F363" s="1"/>
  <c r="F362" s="1"/>
  <c r="E239" i="155"/>
  <c r="D364" i="147" s="1"/>
  <c r="D363" s="1"/>
  <c r="D362" s="1"/>
  <c r="G198" i="154"/>
  <c r="G197" s="1"/>
  <c r="H198"/>
  <c r="H197" s="1"/>
  <c r="F198"/>
  <c r="F197" s="1"/>
  <c r="F221" i="155"/>
  <c r="F220" s="1"/>
  <c r="F219" s="1"/>
  <c r="G221"/>
  <c r="F346" i="147" s="1"/>
  <c r="F345" s="1"/>
  <c r="F344" s="1"/>
  <c r="E221" i="155"/>
  <c r="D346" i="147" s="1"/>
  <c r="D345" s="1"/>
  <c r="D344" s="1"/>
  <c r="G180" i="154"/>
  <c r="G179" s="1"/>
  <c r="H180"/>
  <c r="H179" s="1"/>
  <c r="F180"/>
  <c r="F179" s="1"/>
  <c r="F211" i="155"/>
  <c r="F210" s="1"/>
  <c r="F209" s="1"/>
  <c r="G211"/>
  <c r="F336" i="147" s="1"/>
  <c r="F335" s="1"/>
  <c r="F334" s="1"/>
  <c r="E211" i="155"/>
  <c r="E210" s="1"/>
  <c r="E209" s="1"/>
  <c r="G170" i="154"/>
  <c r="G169" s="1"/>
  <c r="H170"/>
  <c r="H169" s="1"/>
  <c r="F170"/>
  <c r="F169" s="1"/>
  <c r="E220" i="155" l="1"/>
  <c r="E219" s="1"/>
  <c r="F238"/>
  <c r="F237" s="1"/>
  <c r="E238"/>
  <c r="E237" s="1"/>
  <c r="G238"/>
  <c r="G237" s="1"/>
  <c r="G220"/>
  <c r="G219" s="1"/>
  <c r="E346" i="147"/>
  <c r="E345" s="1"/>
  <c r="E344" s="1"/>
  <c r="G210" i="155"/>
  <c r="G209" s="1"/>
  <c r="D336" i="147"/>
  <c r="D335" s="1"/>
  <c r="D334" s="1"/>
  <c r="E336"/>
  <c r="E335" s="1"/>
  <c r="E334" s="1"/>
  <c r="F371" i="155"/>
  <c r="F370" s="1"/>
  <c r="F369" s="1"/>
  <c r="G371"/>
  <c r="G370" s="1"/>
  <c r="G369" s="1"/>
  <c r="E371"/>
  <c r="G293" i="154"/>
  <c r="G292" s="1"/>
  <c r="H293"/>
  <c r="H292" s="1"/>
  <c r="F293"/>
  <c r="F292" s="1"/>
  <c r="D259" i="147" l="1"/>
  <c r="D258" s="1"/>
  <c r="D257" s="1"/>
  <c r="D11" i="170"/>
  <c r="F259" i="147"/>
  <c r="F258" s="1"/>
  <c r="F257" s="1"/>
  <c r="E370" i="155"/>
  <c r="E369" s="1"/>
  <c r="E259" i="147"/>
  <c r="E258" s="1"/>
  <c r="E257" s="1"/>
  <c r="G11" i="170" l="1"/>
  <c r="D10"/>
  <c r="F284" i="155"/>
  <c r="F283" s="1"/>
  <c r="F282" s="1"/>
  <c r="F281" s="1"/>
  <c r="G284"/>
  <c r="G283" s="1"/>
  <c r="G282" s="1"/>
  <c r="G281" s="1"/>
  <c r="E284"/>
  <c r="E283" s="1"/>
  <c r="E282" s="1"/>
  <c r="E281" s="1"/>
  <c r="G231" i="154"/>
  <c r="G230" s="1"/>
  <c r="G229" s="1"/>
  <c r="H231"/>
  <c r="H230" s="1"/>
  <c r="H229" s="1"/>
  <c r="F231"/>
  <c r="F230" s="1"/>
  <c r="F229" s="1"/>
  <c r="G10" i="170" l="1"/>
  <c r="D9"/>
  <c r="E271" i="147"/>
  <c r="E270" s="1"/>
  <c r="E269" s="1"/>
  <c r="E268" s="1"/>
  <c r="D271"/>
  <c r="D270" s="1"/>
  <c r="D269" s="1"/>
  <c r="D268" s="1"/>
  <c r="F271"/>
  <c r="F270" s="1"/>
  <c r="F269" s="1"/>
  <c r="F268" s="1"/>
  <c r="G671" i="154"/>
  <c r="G9" i="170" l="1"/>
  <c r="G18" s="1"/>
  <c r="D18"/>
  <c r="F428" i="154"/>
  <c r="F501"/>
  <c r="F133"/>
  <c r="F118"/>
  <c r="H527"/>
  <c r="G527"/>
  <c r="F144" i="155"/>
  <c r="F143" s="1"/>
  <c r="F142" s="1"/>
  <c r="G144"/>
  <c r="G143" s="1"/>
  <c r="G142" s="1"/>
  <c r="E144"/>
  <c r="E143" s="1"/>
  <c r="E142" s="1"/>
  <c r="G107" i="154"/>
  <c r="G106" s="1"/>
  <c r="G105" s="1"/>
  <c r="H107"/>
  <c r="H106" s="1"/>
  <c r="H105" s="1"/>
  <c r="F107"/>
  <c r="F106" s="1"/>
  <c r="F105" s="1"/>
  <c r="F253" i="155"/>
  <c r="F252" s="1"/>
  <c r="G253"/>
  <c r="E253"/>
  <c r="G212" i="154"/>
  <c r="H212"/>
  <c r="F212"/>
  <c r="F251" i="155"/>
  <c r="E470" i="147" s="1"/>
  <c r="E469" s="1"/>
  <c r="G251" i="155"/>
  <c r="F470" i="147" s="1"/>
  <c r="F469" s="1"/>
  <c r="E251" i="155"/>
  <c r="E250" s="1"/>
  <c r="G210" i="154"/>
  <c r="H210"/>
  <c r="F210"/>
  <c r="F201"/>
  <c r="F288" i="155"/>
  <c r="E275" i="147" s="1"/>
  <c r="E274" s="1"/>
  <c r="E273" s="1"/>
  <c r="G288" i="155"/>
  <c r="F275" i="147" s="1"/>
  <c r="F274" s="1"/>
  <c r="F273" s="1"/>
  <c r="E288" i="155"/>
  <c r="D275" i="147" s="1"/>
  <c r="D274" s="1"/>
  <c r="D273" s="1"/>
  <c r="G235" i="154"/>
  <c r="G234" s="1"/>
  <c r="H235"/>
  <c r="H234" s="1"/>
  <c r="F235"/>
  <c r="F234" s="1"/>
  <c r="F383" i="155"/>
  <c r="E400" i="147" s="1"/>
  <c r="E399" s="1"/>
  <c r="G383" i="155"/>
  <c r="F400" i="147" s="1"/>
  <c r="F399" s="1"/>
  <c r="F398" s="1"/>
  <c r="F397" s="1"/>
  <c r="E383" i="155"/>
  <c r="D400" i="147" s="1"/>
  <c r="D399" s="1"/>
  <c r="G647" i="154"/>
  <c r="G646" s="1"/>
  <c r="G645" s="1"/>
  <c r="G644" s="1"/>
  <c r="G643" s="1"/>
  <c r="H647"/>
  <c r="H646" s="1"/>
  <c r="H645" s="1"/>
  <c r="H644" s="1"/>
  <c r="H643" s="1"/>
  <c r="F647"/>
  <c r="F646" s="1"/>
  <c r="F645" s="1"/>
  <c r="F644" s="1"/>
  <c r="F643" s="1"/>
  <c r="F442" i="155"/>
  <c r="G442"/>
  <c r="E442"/>
  <c r="G706" i="154"/>
  <c r="G705" s="1"/>
  <c r="G701" s="1"/>
  <c r="H706"/>
  <c r="H705" s="1"/>
  <c r="H701" s="1"/>
  <c r="F706"/>
  <c r="F705" s="1"/>
  <c r="F701" s="1"/>
  <c r="F359" i="155"/>
  <c r="G359"/>
  <c r="E359"/>
  <c r="G638" i="154"/>
  <c r="G637" s="1"/>
  <c r="G633" s="1"/>
  <c r="H638"/>
  <c r="H637" s="1"/>
  <c r="H633" s="1"/>
  <c r="F638"/>
  <c r="F637" s="1"/>
  <c r="F633" s="1"/>
  <c r="F227" i="155"/>
  <c r="F226" s="1"/>
  <c r="F225" s="1"/>
  <c r="F218" s="1"/>
  <c r="G227"/>
  <c r="G226" s="1"/>
  <c r="G225" s="1"/>
  <c r="G218" s="1"/>
  <c r="E227"/>
  <c r="E226" s="1"/>
  <c r="E225" s="1"/>
  <c r="E218" s="1"/>
  <c r="G186" i="154"/>
  <c r="G185" s="1"/>
  <c r="G178" s="1"/>
  <c r="H186"/>
  <c r="H185" s="1"/>
  <c r="H178" s="1"/>
  <c r="F186"/>
  <c r="F185" s="1"/>
  <c r="F178" s="1"/>
  <c r="D398" i="147" l="1"/>
  <c r="D397" s="1"/>
  <c r="E398"/>
  <c r="E397" s="1"/>
  <c r="D63"/>
  <c r="D62" s="1"/>
  <c r="D61" s="1"/>
  <c r="E63"/>
  <c r="E62" s="1"/>
  <c r="E61" s="1"/>
  <c r="F63"/>
  <c r="F62" s="1"/>
  <c r="F61" s="1"/>
  <c r="H700" i="154"/>
  <c r="H699" s="1"/>
  <c r="G700"/>
  <c r="G699" s="1"/>
  <c r="F700"/>
  <c r="F699" s="1"/>
  <c r="E441" i="155"/>
  <c r="E440" s="1"/>
  <c r="E436" s="1"/>
  <c r="D393" i="147"/>
  <c r="D392" s="1"/>
  <c r="D391" s="1"/>
  <c r="D387" s="1"/>
  <c r="F441" i="155"/>
  <c r="F440" s="1"/>
  <c r="F436" s="1"/>
  <c r="E393" i="147"/>
  <c r="E392" s="1"/>
  <c r="E391" s="1"/>
  <c r="E387" s="1"/>
  <c r="G441" i="155"/>
  <c r="G440" s="1"/>
  <c r="G436" s="1"/>
  <c r="F393" i="147"/>
  <c r="F392" s="1"/>
  <c r="F391" s="1"/>
  <c r="F209" i="154"/>
  <c r="F208" s="1"/>
  <c r="F207" s="1"/>
  <c r="F472" i="147"/>
  <c r="F471" s="1"/>
  <c r="F468" s="1"/>
  <c r="H209" i="154"/>
  <c r="H208" s="1"/>
  <c r="H207" s="1"/>
  <c r="D472" i="147"/>
  <c r="D471" s="1"/>
  <c r="E472"/>
  <c r="E471" s="1"/>
  <c r="E468" s="1"/>
  <c r="F250" i="155"/>
  <c r="F249" s="1"/>
  <c r="F248" s="1"/>
  <c r="F247" s="1"/>
  <c r="G252"/>
  <c r="E252"/>
  <c r="E249" s="1"/>
  <c r="E248" s="1"/>
  <c r="E247" s="1"/>
  <c r="G209" i="154"/>
  <c r="G208" s="1"/>
  <c r="G207" s="1"/>
  <c r="D470" i="147"/>
  <c r="D469" s="1"/>
  <c r="G250" i="155"/>
  <c r="G287"/>
  <c r="G286" s="1"/>
  <c r="E287"/>
  <c r="E286" s="1"/>
  <c r="F287"/>
  <c r="F286" s="1"/>
  <c r="G382"/>
  <c r="G381" s="1"/>
  <c r="G380" s="1"/>
  <c r="G379" s="1"/>
  <c r="G378" s="1"/>
  <c r="F382"/>
  <c r="F381" s="1"/>
  <c r="F380" s="1"/>
  <c r="F379" s="1"/>
  <c r="F378" s="1"/>
  <c r="E382"/>
  <c r="E381" s="1"/>
  <c r="E380" s="1"/>
  <c r="E379" s="1"/>
  <c r="E378" s="1"/>
  <c r="G358"/>
  <c r="G357" s="1"/>
  <c r="G353" s="1"/>
  <c r="E358"/>
  <c r="E357" s="1"/>
  <c r="E353" s="1"/>
  <c r="D352" i="147"/>
  <c r="D351" s="1"/>
  <c r="D350" s="1"/>
  <c r="D343" s="1"/>
  <c r="F358" i="155"/>
  <c r="F357" s="1"/>
  <c r="F353" s="1"/>
  <c r="F352" i="147"/>
  <c r="F351" s="1"/>
  <c r="F350" s="1"/>
  <c r="F343" s="1"/>
  <c r="E352"/>
  <c r="E351" s="1"/>
  <c r="E350" s="1"/>
  <c r="E343" s="1"/>
  <c r="F387" l="1"/>
  <c r="F386" s="1"/>
  <c r="D386"/>
  <c r="E386"/>
  <c r="F435" i="155"/>
  <c r="F434" s="1"/>
  <c r="G435"/>
  <c r="G434" s="1"/>
  <c r="E435"/>
  <c r="E434" s="1"/>
  <c r="D468" i="147"/>
  <c r="G249" i="155"/>
  <c r="G248" s="1"/>
  <c r="G247" s="1"/>
  <c r="F242" l="1"/>
  <c r="F241" s="1"/>
  <c r="F240" s="1"/>
  <c r="F236" s="1"/>
  <c r="G242"/>
  <c r="G241" s="1"/>
  <c r="G240" s="1"/>
  <c r="G236" s="1"/>
  <c r="E242"/>
  <c r="E241" s="1"/>
  <c r="E240" s="1"/>
  <c r="E236" s="1"/>
  <c r="G201" i="154"/>
  <c r="G200" s="1"/>
  <c r="G196" s="1"/>
  <c r="H201"/>
  <c r="H200" s="1"/>
  <c r="H196" s="1"/>
  <c r="F200"/>
  <c r="F196" s="1"/>
  <c r="F214" i="155"/>
  <c r="E339" i="147" s="1"/>
  <c r="E338" s="1"/>
  <c r="E337" s="1"/>
  <c r="G214" i="155"/>
  <c r="F339" i="147" s="1"/>
  <c r="F338" s="1"/>
  <c r="F337" s="1"/>
  <c r="E214" i="155"/>
  <c r="D339" i="147" s="1"/>
  <c r="D338" s="1"/>
  <c r="D337" s="1"/>
  <c r="G173" i="154"/>
  <c r="G172" s="1"/>
  <c r="H173"/>
  <c r="H172" s="1"/>
  <c r="F173"/>
  <c r="F172" s="1"/>
  <c r="F367" i="147" l="1"/>
  <c r="F366" s="1"/>
  <c r="F365" s="1"/>
  <c r="F361" s="1"/>
  <c r="D367"/>
  <c r="D366" s="1"/>
  <c r="D365" s="1"/>
  <c r="D361" s="1"/>
  <c r="E367"/>
  <c r="E366" s="1"/>
  <c r="E365" s="1"/>
  <c r="E361" s="1"/>
  <c r="G213" i="155"/>
  <c r="G212" s="1"/>
  <c r="E213"/>
  <c r="E212" s="1"/>
  <c r="F213"/>
  <c r="F212" s="1"/>
  <c r="F294" l="1"/>
  <c r="F293" s="1"/>
  <c r="F292" s="1"/>
  <c r="G294"/>
  <c r="F281" i="147" s="1"/>
  <c r="F280" s="1"/>
  <c r="F279" s="1"/>
  <c r="E294" i="155"/>
  <c r="D281" i="147" s="1"/>
  <c r="D280" s="1"/>
  <c r="D279" s="1"/>
  <c r="H241" i="154"/>
  <c r="H240" s="1"/>
  <c r="G241"/>
  <c r="G240" s="1"/>
  <c r="F241"/>
  <c r="F240" s="1"/>
  <c r="F578" i="155"/>
  <c r="F577" s="1"/>
  <c r="F576" s="1"/>
  <c r="F575" s="1"/>
  <c r="G578"/>
  <c r="G577" s="1"/>
  <c r="G576" s="1"/>
  <c r="G575" s="1"/>
  <c r="E578"/>
  <c r="E577" s="1"/>
  <c r="E576" s="1"/>
  <c r="E575" s="1"/>
  <c r="G397" i="154"/>
  <c r="G396" s="1"/>
  <c r="G395" s="1"/>
  <c r="H397"/>
  <c r="H396" s="1"/>
  <c r="H395" s="1"/>
  <c r="F397"/>
  <c r="F396" s="1"/>
  <c r="F395" s="1"/>
  <c r="G293" i="155" l="1"/>
  <c r="G292" s="1"/>
  <c r="E293"/>
  <c r="E292" s="1"/>
  <c r="E281" i="147"/>
  <c r="E280" s="1"/>
  <c r="E279" s="1"/>
  <c r="E147"/>
  <c r="E146" s="1"/>
  <c r="E145" s="1"/>
  <c r="E144" s="1"/>
  <c r="D147"/>
  <c r="D146" s="1"/>
  <c r="D145" s="1"/>
  <c r="D144" s="1"/>
  <c r="F147"/>
  <c r="F146" s="1"/>
  <c r="F145" s="1"/>
  <c r="F144" s="1"/>
  <c r="F403" i="155" l="1"/>
  <c r="E35" i="147" s="1"/>
  <c r="E34" s="1"/>
  <c r="E33" s="1"/>
  <c r="G403" i="155"/>
  <c r="F35" i="147" s="1"/>
  <c r="F34" s="1"/>
  <c r="F33" s="1"/>
  <c r="E403" i="155"/>
  <c r="E402" s="1"/>
  <c r="E401" s="1"/>
  <c r="G667" i="154"/>
  <c r="G666" s="1"/>
  <c r="H667"/>
  <c r="H666" s="1"/>
  <c r="F667"/>
  <c r="F666" s="1"/>
  <c r="H24"/>
  <c r="G24"/>
  <c r="F24"/>
  <c r="F402" i="155" l="1"/>
  <c r="F401" s="1"/>
  <c r="D35" i="147"/>
  <c r="D34" s="1"/>
  <c r="D33" s="1"/>
  <c r="G402" i="155"/>
  <c r="G401" s="1"/>
  <c r="G297" i="154" l="1"/>
  <c r="F297"/>
  <c r="F300"/>
  <c r="F374" i="155" l="1"/>
  <c r="F373" s="1"/>
  <c r="F372" s="1"/>
  <c r="G374"/>
  <c r="G373" s="1"/>
  <c r="G372" s="1"/>
  <c r="E374"/>
  <c r="D262" i="147" s="1"/>
  <c r="D261" s="1"/>
  <c r="D260" s="1"/>
  <c r="F262" l="1"/>
  <c r="F261" s="1"/>
  <c r="F260" s="1"/>
  <c r="E262"/>
  <c r="E261" s="1"/>
  <c r="E260" s="1"/>
  <c r="E373" i="155"/>
  <c r="E372" s="1"/>
  <c r="G296" i="154"/>
  <c r="G295" s="1"/>
  <c r="H296"/>
  <c r="H295" s="1"/>
  <c r="F296"/>
  <c r="F295" s="1"/>
  <c r="F368" i="155"/>
  <c r="G368"/>
  <c r="E368"/>
  <c r="D256" i="147" s="1"/>
  <c r="D255" s="1"/>
  <c r="D254" s="1"/>
  <c r="G290" i="154"/>
  <c r="G289" s="1"/>
  <c r="H290"/>
  <c r="H289" s="1"/>
  <c r="F290"/>
  <c r="F289" s="1"/>
  <c r="F639" i="155"/>
  <c r="F638" s="1"/>
  <c r="F637" s="1"/>
  <c r="G639"/>
  <c r="G638" s="1"/>
  <c r="G637" s="1"/>
  <c r="E639"/>
  <c r="D433" i="147" s="1"/>
  <c r="D432" s="1"/>
  <c r="D431" s="1"/>
  <c r="G581" i="154"/>
  <c r="G580" s="1"/>
  <c r="H581"/>
  <c r="H580" s="1"/>
  <c r="F581"/>
  <c r="F580" s="1"/>
  <c r="F367" i="155" l="1"/>
  <c r="F366" s="1"/>
  <c r="F256" i="147"/>
  <c r="F255" s="1"/>
  <c r="F254" s="1"/>
  <c r="E367" i="155"/>
  <c r="E366" s="1"/>
  <c r="G367"/>
  <c r="G366" s="1"/>
  <c r="E256" i="147"/>
  <c r="E255" s="1"/>
  <c r="E254" s="1"/>
  <c r="F433"/>
  <c r="F432" s="1"/>
  <c r="F431" s="1"/>
  <c r="E638" i="155"/>
  <c r="E637" s="1"/>
  <c r="E433" i="147"/>
  <c r="E432" s="1"/>
  <c r="E431" s="1"/>
  <c r="F579" i="154"/>
  <c r="H121" l="1"/>
  <c r="G122"/>
  <c r="G121"/>
  <c r="F697" i="155" l="1"/>
  <c r="F696" s="1"/>
  <c r="F695" s="1"/>
  <c r="F694" s="1"/>
  <c r="F693" s="1"/>
  <c r="F692" s="1"/>
  <c r="F691" s="1"/>
  <c r="D47" i="143" s="1"/>
  <c r="D46" s="1"/>
  <c r="G697" i="155"/>
  <c r="F475" i="147" s="1"/>
  <c r="F474" s="1"/>
  <c r="F473" s="1"/>
  <c r="E697" i="155"/>
  <c r="E696" s="1"/>
  <c r="E695" s="1"/>
  <c r="E694" s="1"/>
  <c r="E693" s="1"/>
  <c r="E692" s="1"/>
  <c r="E691" s="1"/>
  <c r="C47" i="143" s="1"/>
  <c r="C46" s="1"/>
  <c r="G526" i="154"/>
  <c r="G525" s="1"/>
  <c r="G524" s="1"/>
  <c r="G523" s="1"/>
  <c r="G522" s="1"/>
  <c r="G521" s="1"/>
  <c r="H526"/>
  <c r="H525" s="1"/>
  <c r="H524" s="1"/>
  <c r="H523" s="1"/>
  <c r="H522" s="1"/>
  <c r="H521" s="1"/>
  <c r="F526"/>
  <c r="F525" s="1"/>
  <c r="F524" s="1"/>
  <c r="F523" s="1"/>
  <c r="F522" s="1"/>
  <c r="F521" s="1"/>
  <c r="G696" i="155" l="1"/>
  <c r="G695" s="1"/>
  <c r="G694" s="1"/>
  <c r="G693" s="1"/>
  <c r="G692" s="1"/>
  <c r="G691" s="1"/>
  <c r="E47" i="143" s="1"/>
  <c r="E46" s="1"/>
  <c r="E475" i="147"/>
  <c r="E474" s="1"/>
  <c r="E473" s="1"/>
  <c r="D475"/>
  <c r="D474" s="1"/>
  <c r="D473" s="1"/>
  <c r="G195" i="154" l="1"/>
  <c r="F628" i="155" l="1"/>
  <c r="G628"/>
  <c r="E628"/>
  <c r="F481" l="1"/>
  <c r="G481"/>
  <c r="E481"/>
  <c r="F377"/>
  <c r="F376" s="1"/>
  <c r="F375" s="1"/>
  <c r="F365" s="1"/>
  <c r="G377"/>
  <c r="G376" s="1"/>
  <c r="G375" s="1"/>
  <c r="G365" s="1"/>
  <c r="E377"/>
  <c r="E376" s="1"/>
  <c r="E375" s="1"/>
  <c r="E365" s="1"/>
  <c r="G299" i="154"/>
  <c r="G298" s="1"/>
  <c r="G288" s="1"/>
  <c r="H299"/>
  <c r="H298" s="1"/>
  <c r="H288" s="1"/>
  <c r="F299"/>
  <c r="F298" s="1"/>
  <c r="F288" s="1"/>
  <c r="F530" i="155"/>
  <c r="F529" s="1"/>
  <c r="G530"/>
  <c r="G529" s="1"/>
  <c r="E530"/>
  <c r="E529" s="1"/>
  <c r="G763" i="154"/>
  <c r="H763"/>
  <c r="F763"/>
  <c r="F124" i="155"/>
  <c r="G124"/>
  <c r="E124"/>
  <c r="F463"/>
  <c r="G463"/>
  <c r="E463"/>
  <c r="F511"/>
  <c r="G511"/>
  <c r="E511"/>
  <c r="F517"/>
  <c r="I7" i="171" s="1"/>
  <c r="G517" i="155"/>
  <c r="J7" i="171" s="1"/>
  <c r="E517" i="155"/>
  <c r="H7" i="171" s="1"/>
  <c r="F647" i="155"/>
  <c r="G647"/>
  <c r="E647"/>
  <c r="F651"/>
  <c r="G651"/>
  <c r="E651"/>
  <c r="F659"/>
  <c r="G659"/>
  <c r="E659"/>
  <c r="F661"/>
  <c r="G661"/>
  <c r="E661"/>
  <c r="F666"/>
  <c r="G666"/>
  <c r="E666"/>
  <c r="F669"/>
  <c r="G669"/>
  <c r="E669"/>
  <c r="F671"/>
  <c r="G671"/>
  <c r="E671"/>
  <c r="F673"/>
  <c r="G673"/>
  <c r="E673"/>
  <c r="H502" i="154"/>
  <c r="F287" l="1"/>
  <c r="F286" s="1"/>
  <c r="F285" s="1"/>
  <c r="G364" i="155"/>
  <c r="G363" s="1"/>
  <c r="H287" i="154"/>
  <c r="H286" s="1"/>
  <c r="H285" s="1"/>
  <c r="F364" i="155"/>
  <c r="F363" s="1"/>
  <c r="G287" i="154"/>
  <c r="G286" s="1"/>
  <c r="G285" s="1"/>
  <c r="E364" i="155"/>
  <c r="E363" s="1"/>
  <c r="D265" i="147"/>
  <c r="D264" s="1"/>
  <c r="D263" s="1"/>
  <c r="D253" s="1"/>
  <c r="E265"/>
  <c r="E264" s="1"/>
  <c r="E263" s="1"/>
  <c r="E253" s="1"/>
  <c r="F265"/>
  <c r="F264" s="1"/>
  <c r="F263" s="1"/>
  <c r="F253" s="1"/>
  <c r="D101"/>
  <c r="D100" s="1"/>
  <c r="F101"/>
  <c r="F100" s="1"/>
  <c r="E101"/>
  <c r="E100" s="1"/>
  <c r="F252" l="1"/>
  <c r="E252"/>
  <c r="D252"/>
  <c r="F91" i="155"/>
  <c r="F90" s="1"/>
  <c r="F89" s="1"/>
  <c r="G91"/>
  <c r="G90" s="1"/>
  <c r="G89" s="1"/>
  <c r="E91"/>
  <c r="D205" i="147" s="1"/>
  <c r="D204" s="1"/>
  <c r="D203" s="1"/>
  <c r="G62" i="154"/>
  <c r="G61" s="1"/>
  <c r="H62"/>
  <c r="H61" s="1"/>
  <c r="F62"/>
  <c r="F61" s="1"/>
  <c r="E90" i="155" l="1"/>
  <c r="E89" s="1"/>
  <c r="F205" i="147"/>
  <c r="F204" s="1"/>
  <c r="F203" s="1"/>
  <c r="E205"/>
  <c r="E204" s="1"/>
  <c r="E203" s="1"/>
  <c r="F21" i="154" l="1"/>
  <c r="G21"/>
  <c r="H21"/>
  <c r="F112" l="1"/>
  <c r="G112"/>
  <c r="H112"/>
  <c r="F114"/>
  <c r="G114"/>
  <c r="H114"/>
  <c r="F111" l="1"/>
  <c r="H111"/>
  <c r="G111"/>
  <c r="F663" i="155" l="1"/>
  <c r="E176" i="147" s="1"/>
  <c r="G663" i="155"/>
  <c r="F176" i="147" s="1"/>
  <c r="E663" i="155"/>
  <c r="D176" i="147" s="1"/>
  <c r="F498" i="155"/>
  <c r="F497" s="1"/>
  <c r="G498"/>
  <c r="G497" s="1"/>
  <c r="E498"/>
  <c r="E497" s="1"/>
  <c r="F514"/>
  <c r="G514"/>
  <c r="E514"/>
  <c r="F621"/>
  <c r="G621"/>
  <c r="E621"/>
  <c r="E662" l="1"/>
  <c r="F662"/>
  <c r="G662"/>
  <c r="F217" l="1"/>
  <c r="E342" i="147" s="1"/>
  <c r="E341" s="1"/>
  <c r="E340" s="1"/>
  <c r="E333" s="1"/>
  <c r="G217" i="155"/>
  <c r="F342" i="147" s="1"/>
  <c r="F341" s="1"/>
  <c r="F340" s="1"/>
  <c r="F333" s="1"/>
  <c r="E217" i="155"/>
  <c r="E216" s="1"/>
  <c r="E215" s="1"/>
  <c r="E208" s="1"/>
  <c r="G176" i="154"/>
  <c r="G175" s="1"/>
  <c r="G168" s="1"/>
  <c r="H176"/>
  <c r="H175" s="1"/>
  <c r="H168" s="1"/>
  <c r="F176"/>
  <c r="F175" s="1"/>
  <c r="F168" s="1"/>
  <c r="F216" i="155" l="1"/>
  <c r="F215" s="1"/>
  <c r="F208" s="1"/>
  <c r="G216"/>
  <c r="G215" s="1"/>
  <c r="G208" s="1"/>
  <c r="D342" i="147"/>
  <c r="D341" s="1"/>
  <c r="D340" s="1"/>
  <c r="D333" s="1"/>
  <c r="F636" i="155" l="1"/>
  <c r="E430" i="147" s="1"/>
  <c r="E429" s="1"/>
  <c r="E428" s="1"/>
  <c r="G636" i="155"/>
  <c r="G635" s="1"/>
  <c r="G634" s="1"/>
  <c r="G633" s="1"/>
  <c r="E636"/>
  <c r="D430" i="147" s="1"/>
  <c r="D429" s="1"/>
  <c r="D428" s="1"/>
  <c r="G578" i="154"/>
  <c r="G577" s="1"/>
  <c r="G576" s="1"/>
  <c r="H578"/>
  <c r="H577" s="1"/>
  <c r="H576" s="1"/>
  <c r="F578"/>
  <c r="F577" s="1"/>
  <c r="F576" s="1"/>
  <c r="E635" i="155" l="1"/>
  <c r="E634" s="1"/>
  <c r="E633" s="1"/>
  <c r="F635"/>
  <c r="F634" s="1"/>
  <c r="F633" s="1"/>
  <c r="F430" i="147"/>
  <c r="F429" s="1"/>
  <c r="F428" s="1"/>
  <c r="F73" i="155" l="1"/>
  <c r="F72" s="1"/>
  <c r="F71" s="1"/>
  <c r="F70" s="1"/>
  <c r="F69" s="1"/>
  <c r="F68" s="1"/>
  <c r="F67" s="1"/>
  <c r="D15" i="143" s="1"/>
  <c r="G73" i="155"/>
  <c r="G72" s="1"/>
  <c r="G71" s="1"/>
  <c r="G70" s="1"/>
  <c r="G69" s="1"/>
  <c r="G68" s="1"/>
  <c r="G67" s="1"/>
  <c r="E15" i="143" s="1"/>
  <c r="E73" i="155"/>
  <c r="E72" s="1"/>
  <c r="E71" s="1"/>
  <c r="E70" s="1"/>
  <c r="E69" s="1"/>
  <c r="E68" s="1"/>
  <c r="E67" s="1"/>
  <c r="C15" i="143" s="1"/>
  <c r="G50" i="154"/>
  <c r="G49" s="1"/>
  <c r="G48" s="1"/>
  <c r="G47" s="1"/>
  <c r="G46" s="1"/>
  <c r="G45" s="1"/>
  <c r="H50"/>
  <c r="H49" s="1"/>
  <c r="H48" s="1"/>
  <c r="H47" s="1"/>
  <c r="H46" s="1"/>
  <c r="H45" s="1"/>
  <c r="F50"/>
  <c r="F49" s="1"/>
  <c r="F48" s="1"/>
  <c r="F47" s="1"/>
  <c r="F46" s="1"/>
  <c r="F45" s="1"/>
  <c r="E235" i="147" l="1"/>
  <c r="F235"/>
  <c r="D235"/>
  <c r="F269" i="155"/>
  <c r="G269"/>
  <c r="E269"/>
  <c r="F277"/>
  <c r="G277"/>
  <c r="E277"/>
  <c r="F433" l="1"/>
  <c r="G433"/>
  <c r="E433"/>
  <c r="F425"/>
  <c r="G425"/>
  <c r="E425"/>
  <c r="F114"/>
  <c r="G114"/>
  <c r="E114"/>
  <c r="F104"/>
  <c r="G104"/>
  <c r="F14"/>
  <c r="G14"/>
  <c r="E14"/>
  <c r="F599"/>
  <c r="G599"/>
  <c r="E599"/>
  <c r="F601"/>
  <c r="G601"/>
  <c r="E601"/>
  <c r="E478" i="147" l="1"/>
  <c r="E477" s="1"/>
  <c r="E476" s="1"/>
  <c r="E464" s="1"/>
  <c r="F478"/>
  <c r="F477" s="1"/>
  <c r="F476" s="1"/>
  <c r="F464" s="1"/>
  <c r="D478"/>
  <c r="D477" s="1"/>
  <c r="D476" s="1"/>
  <c r="D464" s="1"/>
  <c r="E458"/>
  <c r="E457" s="1"/>
  <c r="E456" s="1"/>
  <c r="F458"/>
  <c r="F457" s="1"/>
  <c r="F456" s="1"/>
  <c r="D458"/>
  <c r="D457" s="1"/>
  <c r="D456" s="1"/>
  <c r="E406"/>
  <c r="E405" s="1"/>
  <c r="E404" s="1"/>
  <c r="E403" s="1"/>
  <c r="F406"/>
  <c r="F405" s="1"/>
  <c r="F404" s="1"/>
  <c r="F403" s="1"/>
  <c r="D406"/>
  <c r="D405" s="1"/>
  <c r="D404" s="1"/>
  <c r="D403" s="1"/>
  <c r="E410"/>
  <c r="E409" s="1"/>
  <c r="E408" s="1"/>
  <c r="E407" s="1"/>
  <c r="F410"/>
  <c r="F409" s="1"/>
  <c r="F408" s="1"/>
  <c r="F407" s="1"/>
  <c r="D410"/>
  <c r="D409" s="1"/>
  <c r="D408" s="1"/>
  <c r="D407" s="1"/>
  <c r="E381"/>
  <c r="E380" s="1"/>
  <c r="E379" s="1"/>
  <c r="E378" s="1"/>
  <c r="F381"/>
  <c r="F380" s="1"/>
  <c r="F379" s="1"/>
  <c r="F378" s="1"/>
  <c r="D381"/>
  <c r="D380" s="1"/>
  <c r="D379" s="1"/>
  <c r="D378" s="1"/>
  <c r="E165" i="155"/>
  <c r="E164" s="1"/>
  <c r="F163"/>
  <c r="G163"/>
  <c r="E163"/>
  <c r="F161"/>
  <c r="E520" i="147" s="1"/>
  <c r="G161" i="155"/>
  <c r="E161"/>
  <c r="F152"/>
  <c r="E504" i="147" s="1"/>
  <c r="E503" s="1"/>
  <c r="G152" i="155"/>
  <c r="G151" s="1"/>
  <c r="E152"/>
  <c r="E151" s="1"/>
  <c r="F150"/>
  <c r="E502" i="147" s="1"/>
  <c r="E501" s="1"/>
  <c r="G150" i="155"/>
  <c r="G149" s="1"/>
  <c r="E150"/>
  <c r="E149" s="1"/>
  <c r="F158"/>
  <c r="F157" s="1"/>
  <c r="F156" s="1"/>
  <c r="G158"/>
  <c r="G157" s="1"/>
  <c r="G156" s="1"/>
  <c r="E158"/>
  <c r="E157" s="1"/>
  <c r="E156" s="1"/>
  <c r="F155"/>
  <c r="F154" s="1"/>
  <c r="F153" s="1"/>
  <c r="G155"/>
  <c r="G154" s="1"/>
  <c r="G153" s="1"/>
  <c r="E155"/>
  <c r="E154" s="1"/>
  <c r="E153" s="1"/>
  <c r="F136"/>
  <c r="F135" s="1"/>
  <c r="F134" s="1"/>
  <c r="F133" s="1"/>
  <c r="F132" s="1"/>
  <c r="G136"/>
  <c r="F454" i="147" s="1"/>
  <c r="F453" s="1"/>
  <c r="F452" s="1"/>
  <c r="F451" s="1"/>
  <c r="E136" i="155"/>
  <c r="E135" s="1"/>
  <c r="E134" s="1"/>
  <c r="E133" s="1"/>
  <c r="E132" s="1"/>
  <c r="F130"/>
  <c r="F129" s="1"/>
  <c r="F128" s="1"/>
  <c r="G130"/>
  <c r="G129" s="1"/>
  <c r="G128" s="1"/>
  <c r="E130"/>
  <c r="E129" s="1"/>
  <c r="E128" s="1"/>
  <c r="F127"/>
  <c r="F126" s="1"/>
  <c r="F125" s="1"/>
  <c r="G127"/>
  <c r="G126" s="1"/>
  <c r="G125" s="1"/>
  <c r="E127"/>
  <c r="E126" s="1"/>
  <c r="E125" s="1"/>
  <c r="E438" i="147"/>
  <c r="E437" s="1"/>
  <c r="E436" s="1"/>
  <c r="G123" i="155"/>
  <c r="G122" s="1"/>
  <c r="E123"/>
  <c r="E122" s="1"/>
  <c r="F113"/>
  <c r="G113"/>
  <c r="E113"/>
  <c r="E104"/>
  <c r="E103" s="1"/>
  <c r="E102" s="1"/>
  <c r="E101" s="1"/>
  <c r="F98"/>
  <c r="F97" s="1"/>
  <c r="F96" s="1"/>
  <c r="G98"/>
  <c r="G97" s="1"/>
  <c r="G96" s="1"/>
  <c r="E98"/>
  <c r="E97" s="1"/>
  <c r="E96" s="1"/>
  <c r="F95"/>
  <c r="F94" s="1"/>
  <c r="F93" s="1"/>
  <c r="G95"/>
  <c r="F234" i="147" s="1"/>
  <c r="E95" i="155"/>
  <c r="E94" s="1"/>
  <c r="E93" s="1"/>
  <c r="F88"/>
  <c r="F87" s="1"/>
  <c r="G88"/>
  <c r="G87" s="1"/>
  <c r="E88"/>
  <c r="E87" s="1"/>
  <c r="F86"/>
  <c r="F85" s="1"/>
  <c r="G86"/>
  <c r="F195" i="147" s="1"/>
  <c r="F194" s="1"/>
  <c r="E86" i="155"/>
  <c r="E85" s="1"/>
  <c r="F79"/>
  <c r="F78" s="1"/>
  <c r="F77" s="1"/>
  <c r="F76" s="1"/>
  <c r="F75" s="1"/>
  <c r="F74" s="1"/>
  <c r="D16" i="143" s="1"/>
  <c r="G79" i="155"/>
  <c r="G78" s="1"/>
  <c r="G77" s="1"/>
  <c r="G76" s="1"/>
  <c r="G75" s="1"/>
  <c r="G74" s="1"/>
  <c r="E16" i="143" s="1"/>
  <c r="E79" i="155"/>
  <c r="E78" s="1"/>
  <c r="E77" s="1"/>
  <c r="E76" s="1"/>
  <c r="E75" s="1"/>
  <c r="E74" s="1"/>
  <c r="C16" i="143" s="1"/>
  <c r="F60" i="155"/>
  <c r="F59" s="1"/>
  <c r="G60"/>
  <c r="G59" s="1"/>
  <c r="E60"/>
  <c r="E59" s="1"/>
  <c r="F58"/>
  <c r="F57" s="1"/>
  <c r="G58"/>
  <c r="G57" s="1"/>
  <c r="E58"/>
  <c r="E57" s="1"/>
  <c r="F51"/>
  <c r="F50" s="1"/>
  <c r="F49" s="1"/>
  <c r="F48" s="1"/>
  <c r="F47" s="1"/>
  <c r="F46" s="1"/>
  <c r="D12" i="143" s="1"/>
  <c r="G51" i="155"/>
  <c r="G50" s="1"/>
  <c r="G49" s="1"/>
  <c r="G48" s="1"/>
  <c r="G47" s="1"/>
  <c r="G46" s="1"/>
  <c r="E12" i="143" s="1"/>
  <c r="E51" i="155"/>
  <c r="E50" s="1"/>
  <c r="E49" s="1"/>
  <c r="E48" s="1"/>
  <c r="E47" s="1"/>
  <c r="E46" s="1"/>
  <c r="C12" i="143" s="1"/>
  <c r="F37" i="155"/>
  <c r="G37"/>
  <c r="F499" i="147" s="1"/>
  <c r="E37" i="155"/>
  <c r="F35"/>
  <c r="E497" i="147" s="1"/>
  <c r="G35" i="155"/>
  <c r="E35"/>
  <c r="F45"/>
  <c r="F44" s="1"/>
  <c r="F43" s="1"/>
  <c r="G45"/>
  <c r="G44" s="1"/>
  <c r="G43" s="1"/>
  <c r="E45"/>
  <c r="E44" s="1"/>
  <c r="E43" s="1"/>
  <c r="F42"/>
  <c r="F41" s="1"/>
  <c r="G42"/>
  <c r="G41" s="1"/>
  <c r="E42"/>
  <c r="E41" s="1"/>
  <c r="F40"/>
  <c r="F39" s="1"/>
  <c r="G40"/>
  <c r="G39" s="1"/>
  <c r="E40"/>
  <c r="E39" s="1"/>
  <c r="F28"/>
  <c r="F27" s="1"/>
  <c r="G28"/>
  <c r="F493" i="147" s="1"/>
  <c r="F492" s="1"/>
  <c r="E28" i="155"/>
  <c r="E27" s="1"/>
  <c r="F26"/>
  <c r="F25" s="1"/>
  <c r="G26"/>
  <c r="F491" i="147" s="1"/>
  <c r="F490" s="1"/>
  <c r="E26" i="155"/>
  <c r="E25" s="1"/>
  <c r="F24"/>
  <c r="F23" s="1"/>
  <c r="G24"/>
  <c r="F489" i="147" s="1"/>
  <c r="F488" s="1"/>
  <c r="E24" i="155"/>
  <c r="E23" s="1"/>
  <c r="F21"/>
  <c r="F20" s="1"/>
  <c r="F19" s="1"/>
  <c r="G21"/>
  <c r="G20" s="1"/>
  <c r="G19" s="1"/>
  <c r="E21"/>
  <c r="E20" s="1"/>
  <c r="E19" s="1"/>
  <c r="F173"/>
  <c r="G173"/>
  <c r="E173"/>
  <c r="F176"/>
  <c r="F175" s="1"/>
  <c r="G176"/>
  <c r="G175" s="1"/>
  <c r="E176"/>
  <c r="E175" s="1"/>
  <c r="F178"/>
  <c r="F177" s="1"/>
  <c r="G178"/>
  <c r="F517" i="147" s="1"/>
  <c r="F516" s="1"/>
  <c r="E178" i="155"/>
  <c r="E177" s="1"/>
  <c r="F185"/>
  <c r="F184" s="1"/>
  <c r="F183" s="1"/>
  <c r="F182" s="1"/>
  <c r="G185"/>
  <c r="F377" i="147" s="1"/>
  <c r="F376" s="1"/>
  <c r="F375" s="1"/>
  <c r="F374" s="1"/>
  <c r="E185" i="155"/>
  <c r="E184" s="1"/>
  <c r="E183" s="1"/>
  <c r="E182" s="1"/>
  <c r="F193"/>
  <c r="F192" s="1"/>
  <c r="F191" s="1"/>
  <c r="F190" s="1"/>
  <c r="F189" s="1"/>
  <c r="F188" s="1"/>
  <c r="F187" s="1"/>
  <c r="D22" i="143" s="1"/>
  <c r="G193" i="155"/>
  <c r="G192" s="1"/>
  <c r="G191" s="1"/>
  <c r="G190" s="1"/>
  <c r="G189" s="1"/>
  <c r="G188" s="1"/>
  <c r="G187" s="1"/>
  <c r="E22" i="143" s="1"/>
  <c r="E193" i="155"/>
  <c r="E192" s="1"/>
  <c r="E191" s="1"/>
  <c r="E190" s="1"/>
  <c r="E189" s="1"/>
  <c r="E188" s="1"/>
  <c r="E187" s="1"/>
  <c r="C22" i="143" s="1"/>
  <c r="F200" i="155"/>
  <c r="E322" i="147" s="1"/>
  <c r="E321" s="1"/>
  <c r="E320" s="1"/>
  <c r="E319" s="1"/>
  <c r="G200" i="155"/>
  <c r="F322" i="147" s="1"/>
  <c r="F321" s="1"/>
  <c r="F320" s="1"/>
  <c r="F319" s="1"/>
  <c r="E200" i="155"/>
  <c r="E199" s="1"/>
  <c r="E198" s="1"/>
  <c r="E197" s="1"/>
  <c r="E196" s="1"/>
  <c r="E195" s="1"/>
  <c r="E194" s="1"/>
  <c r="C23" i="143" s="1"/>
  <c r="F207" i="155"/>
  <c r="F206" s="1"/>
  <c r="F205" s="1"/>
  <c r="F204" s="1"/>
  <c r="F203" s="1"/>
  <c r="G207"/>
  <c r="F332" i="147" s="1"/>
  <c r="F331" s="1"/>
  <c r="F330" s="1"/>
  <c r="F329" s="1"/>
  <c r="F328" s="1"/>
  <c r="E207" i="155"/>
  <c r="E206" s="1"/>
  <c r="E205" s="1"/>
  <c r="E204" s="1"/>
  <c r="E203" s="1"/>
  <c r="F235"/>
  <c r="F234" s="1"/>
  <c r="F233" s="1"/>
  <c r="F229" s="1"/>
  <c r="F228" s="1"/>
  <c r="G235"/>
  <c r="F360" i="147" s="1"/>
  <c r="F359" s="1"/>
  <c r="F358" s="1"/>
  <c r="F354" s="1"/>
  <c r="F353" s="1"/>
  <c r="E235" i="155"/>
  <c r="E234" s="1"/>
  <c r="E233" s="1"/>
  <c r="E229" s="1"/>
  <c r="E228" s="1"/>
  <c r="F260"/>
  <c r="F259" s="1"/>
  <c r="F258" s="1"/>
  <c r="F257" s="1"/>
  <c r="G260"/>
  <c r="G259" s="1"/>
  <c r="G258" s="1"/>
  <c r="G257" s="1"/>
  <c r="E260"/>
  <c r="E259" s="1"/>
  <c r="E258" s="1"/>
  <c r="E257" s="1"/>
  <c r="F264"/>
  <c r="F263" s="1"/>
  <c r="F262" s="1"/>
  <c r="F261" s="1"/>
  <c r="G264"/>
  <c r="G263" s="1"/>
  <c r="G262" s="1"/>
  <c r="G261" s="1"/>
  <c r="E264"/>
  <c r="E263" s="1"/>
  <c r="E262" s="1"/>
  <c r="E261" s="1"/>
  <c r="F268"/>
  <c r="F267" s="1"/>
  <c r="F266" s="1"/>
  <c r="F265" s="1"/>
  <c r="F426" i="147"/>
  <c r="F425" s="1"/>
  <c r="F424" s="1"/>
  <c r="E268" i="155"/>
  <c r="E267" s="1"/>
  <c r="E266" s="1"/>
  <c r="E265" s="1"/>
  <c r="F276"/>
  <c r="F275" s="1"/>
  <c r="F274" s="1"/>
  <c r="F273" s="1"/>
  <c r="F272" s="1"/>
  <c r="F271" s="1"/>
  <c r="F423" i="147"/>
  <c r="F422" s="1"/>
  <c r="F421" s="1"/>
  <c r="E276" i="155"/>
  <c r="E275" s="1"/>
  <c r="E274" s="1"/>
  <c r="E273" s="1"/>
  <c r="E272" s="1"/>
  <c r="E271" s="1"/>
  <c r="F291"/>
  <c r="F290" s="1"/>
  <c r="F289" s="1"/>
  <c r="G291"/>
  <c r="F278" i="147" s="1"/>
  <c r="F277" s="1"/>
  <c r="F276" s="1"/>
  <c r="E291" i="155"/>
  <c r="E290" s="1"/>
  <c r="E289" s="1"/>
  <c r="F305"/>
  <c r="E292" i="147" s="1"/>
  <c r="E291" s="1"/>
  <c r="E290" s="1"/>
  <c r="E283" s="1"/>
  <c r="G305" i="155"/>
  <c r="G304" s="1"/>
  <c r="G303" s="1"/>
  <c r="G296" s="1"/>
  <c r="E304"/>
  <c r="E303" s="1"/>
  <c r="E296" s="1"/>
  <c r="F312"/>
  <c r="F311" s="1"/>
  <c r="F310" s="1"/>
  <c r="G312"/>
  <c r="G311" s="1"/>
  <c r="G310" s="1"/>
  <c r="E312"/>
  <c r="E311" s="1"/>
  <c r="E310" s="1"/>
  <c r="F315"/>
  <c r="E302" i="147" s="1"/>
  <c r="E301" s="1"/>
  <c r="E300" s="1"/>
  <c r="G315" i="155"/>
  <c r="G314" s="1"/>
  <c r="G313" s="1"/>
  <c r="E315"/>
  <c r="E314" s="1"/>
  <c r="E313" s="1"/>
  <c r="F318"/>
  <c r="E305" i="147" s="1"/>
  <c r="E304" s="1"/>
  <c r="E303" s="1"/>
  <c r="G318" i="155"/>
  <c r="G317" s="1"/>
  <c r="G316" s="1"/>
  <c r="E318"/>
  <c r="E317" s="1"/>
  <c r="E316" s="1"/>
  <c r="F321"/>
  <c r="E308" i="147" s="1"/>
  <c r="E307" s="1"/>
  <c r="E306" s="1"/>
  <c r="G321" i="155"/>
  <c r="G320" s="1"/>
  <c r="G319" s="1"/>
  <c r="E321"/>
  <c r="E320" s="1"/>
  <c r="E319" s="1"/>
  <c r="F327"/>
  <c r="F326" s="1"/>
  <c r="F325" s="1"/>
  <c r="G327"/>
  <c r="F314" i="147" s="1"/>
  <c r="F313" s="1"/>
  <c r="F312" s="1"/>
  <c r="E327" i="155"/>
  <c r="D314" i="147" s="1"/>
  <c r="D313" s="1"/>
  <c r="D312" s="1"/>
  <c r="F335" i="155"/>
  <c r="F334" s="1"/>
  <c r="F333" s="1"/>
  <c r="F332" s="1"/>
  <c r="F331" s="1"/>
  <c r="G335"/>
  <c r="G334" s="1"/>
  <c r="G333" s="1"/>
  <c r="G332" s="1"/>
  <c r="G331" s="1"/>
  <c r="E335"/>
  <c r="D326" i="147" s="1"/>
  <c r="D325" s="1"/>
  <c r="D324" s="1"/>
  <c r="D323" s="1"/>
  <c r="F493" i="155"/>
  <c r="F492" s="1"/>
  <c r="F491" s="1"/>
  <c r="F485" s="1"/>
  <c r="G493"/>
  <c r="G492" s="1"/>
  <c r="G491" s="1"/>
  <c r="G485" s="1"/>
  <c r="E493"/>
  <c r="D47" i="147" s="1"/>
  <c r="D46" s="1"/>
  <c r="D45" s="1"/>
  <c r="D39" s="1"/>
  <c r="G496" i="155"/>
  <c r="G495" s="1"/>
  <c r="E496"/>
  <c r="E495" s="1"/>
  <c r="F502"/>
  <c r="F501" s="1"/>
  <c r="F500" s="1"/>
  <c r="F499" s="1"/>
  <c r="G502"/>
  <c r="F109" i="147" s="1"/>
  <c r="F108" s="1"/>
  <c r="F107" s="1"/>
  <c r="F106" s="1"/>
  <c r="E502" i="155"/>
  <c r="E501" s="1"/>
  <c r="E500" s="1"/>
  <c r="E499" s="1"/>
  <c r="F508"/>
  <c r="F507" s="1"/>
  <c r="F506" s="1"/>
  <c r="G508"/>
  <c r="F242" i="147" s="1"/>
  <c r="F241" s="1"/>
  <c r="F240" s="1"/>
  <c r="E508" i="155"/>
  <c r="E507" s="1"/>
  <c r="E506" s="1"/>
  <c r="F510"/>
  <c r="F509" s="1"/>
  <c r="F245" i="147"/>
  <c r="F244" s="1"/>
  <c r="F243" s="1"/>
  <c r="E510" i="155"/>
  <c r="E509" s="1"/>
  <c r="F513"/>
  <c r="F512" s="1"/>
  <c r="G513"/>
  <c r="G512" s="1"/>
  <c r="E513"/>
  <c r="E512" s="1"/>
  <c r="F516"/>
  <c r="F515" s="1"/>
  <c r="G516"/>
  <c r="G515" s="1"/>
  <c r="D251" i="147"/>
  <c r="D250" s="1"/>
  <c r="D249" s="1"/>
  <c r="F413" i="155"/>
  <c r="F412" s="1"/>
  <c r="F411" s="1"/>
  <c r="F407" s="1"/>
  <c r="G413"/>
  <c r="F60" i="147" s="1"/>
  <c r="F59" s="1"/>
  <c r="F58" s="1"/>
  <c r="F48" s="1"/>
  <c r="E413" i="155"/>
  <c r="D60" i="147" s="1"/>
  <c r="F406" i="155"/>
  <c r="F405" s="1"/>
  <c r="F404" s="1"/>
  <c r="F400" s="1"/>
  <c r="G406"/>
  <c r="G405" s="1"/>
  <c r="G404" s="1"/>
  <c r="G400" s="1"/>
  <c r="E406"/>
  <c r="E405" s="1"/>
  <c r="E404" s="1"/>
  <c r="E400" s="1"/>
  <c r="F390"/>
  <c r="F389" s="1"/>
  <c r="F388" s="1"/>
  <c r="G390"/>
  <c r="F16" i="147" s="1"/>
  <c r="F15" s="1"/>
  <c r="F14" s="1"/>
  <c r="E390" i="155"/>
  <c r="E389" s="1"/>
  <c r="E388" s="1"/>
  <c r="F396"/>
  <c r="F395" s="1"/>
  <c r="F394" s="1"/>
  <c r="G396"/>
  <c r="G395" s="1"/>
  <c r="G394" s="1"/>
  <c r="E396"/>
  <c r="E395" s="1"/>
  <c r="E394" s="1"/>
  <c r="F343"/>
  <c r="F342" s="1"/>
  <c r="F341" s="1"/>
  <c r="G343"/>
  <c r="F13" i="147" s="1"/>
  <c r="F12" s="1"/>
  <c r="F11" s="1"/>
  <c r="E343" i="155"/>
  <c r="E342" s="1"/>
  <c r="E341" s="1"/>
  <c r="F349"/>
  <c r="F348" s="1"/>
  <c r="F347" s="1"/>
  <c r="G349"/>
  <c r="E349"/>
  <c r="E348" s="1"/>
  <c r="E347" s="1"/>
  <c r="E450" i="147"/>
  <c r="E449" s="1"/>
  <c r="E448" s="1"/>
  <c r="E447" s="1"/>
  <c r="G480" i="155"/>
  <c r="G479" s="1"/>
  <c r="G478" s="1"/>
  <c r="G477" s="1"/>
  <c r="G476" s="1"/>
  <c r="G475" s="1"/>
  <c r="E33" i="143" s="1"/>
  <c r="E480" i="155"/>
  <c r="E479" s="1"/>
  <c r="E478" s="1"/>
  <c r="E477" s="1"/>
  <c r="E476" s="1"/>
  <c r="E475" s="1"/>
  <c r="C33" i="143" s="1"/>
  <c r="F524" i="155"/>
  <c r="F523" s="1"/>
  <c r="F522" s="1"/>
  <c r="G524"/>
  <c r="F92" i="147" s="1"/>
  <c r="F91" s="1"/>
  <c r="F90" s="1"/>
  <c r="E524" i="155"/>
  <c r="E523" s="1"/>
  <c r="E522" s="1"/>
  <c r="F528"/>
  <c r="E99" i="147" s="1"/>
  <c r="G528" i="155"/>
  <c r="F99" i="147" s="1"/>
  <c r="E528" i="155"/>
  <c r="F540"/>
  <c r="G540"/>
  <c r="E540"/>
  <c r="F542"/>
  <c r="F541" s="1"/>
  <c r="G542"/>
  <c r="G541" s="1"/>
  <c r="E542"/>
  <c r="E541" s="1"/>
  <c r="F553"/>
  <c r="F552" s="1"/>
  <c r="F551" s="1"/>
  <c r="F547" s="1"/>
  <c r="G553"/>
  <c r="G552" s="1"/>
  <c r="G551" s="1"/>
  <c r="G547" s="1"/>
  <c r="E553"/>
  <c r="E552" s="1"/>
  <c r="E551" s="1"/>
  <c r="E547" s="1"/>
  <c r="F560"/>
  <c r="F559" s="1"/>
  <c r="F558" s="1"/>
  <c r="F557" s="1"/>
  <c r="G560"/>
  <c r="G559" s="1"/>
  <c r="G558" s="1"/>
  <c r="G557" s="1"/>
  <c r="E560"/>
  <c r="E559" s="1"/>
  <c r="E558" s="1"/>
  <c r="E557" s="1"/>
  <c r="F586"/>
  <c r="F585" s="1"/>
  <c r="F584" s="1"/>
  <c r="F583" s="1"/>
  <c r="G586"/>
  <c r="G585" s="1"/>
  <c r="G584" s="1"/>
  <c r="G583" s="1"/>
  <c r="E586"/>
  <c r="E585" s="1"/>
  <c r="E584" s="1"/>
  <c r="E583" s="1"/>
  <c r="F608"/>
  <c r="F607" s="1"/>
  <c r="F606" s="1"/>
  <c r="F605" s="1"/>
  <c r="G608"/>
  <c r="G607" s="1"/>
  <c r="G606" s="1"/>
  <c r="G605" s="1"/>
  <c r="E608"/>
  <c r="E607" s="1"/>
  <c r="E606" s="1"/>
  <c r="E605" s="1"/>
  <c r="F612"/>
  <c r="F611" s="1"/>
  <c r="G612"/>
  <c r="G611" s="1"/>
  <c r="E612"/>
  <c r="E611" s="1"/>
  <c r="F614"/>
  <c r="F613" s="1"/>
  <c r="G614"/>
  <c r="G613" s="1"/>
  <c r="E614"/>
  <c r="E613" s="1"/>
  <c r="F618"/>
  <c r="F617" s="1"/>
  <c r="F616" s="1"/>
  <c r="G618"/>
  <c r="G617" s="1"/>
  <c r="G616" s="1"/>
  <c r="E618"/>
  <c r="E617" s="1"/>
  <c r="E616" s="1"/>
  <c r="F620"/>
  <c r="F619" s="1"/>
  <c r="G620"/>
  <c r="G619" s="1"/>
  <c r="E620"/>
  <c r="E619" s="1"/>
  <c r="F627"/>
  <c r="G627"/>
  <c r="E627"/>
  <c r="F630"/>
  <c r="F629" s="1"/>
  <c r="G630"/>
  <c r="G629" s="1"/>
  <c r="E630"/>
  <c r="E629" s="1"/>
  <c r="F646"/>
  <c r="F645" s="1"/>
  <c r="F644" s="1"/>
  <c r="G646"/>
  <c r="G645" s="1"/>
  <c r="G644" s="1"/>
  <c r="E646"/>
  <c r="E645" s="1"/>
  <c r="E644" s="1"/>
  <c r="F650"/>
  <c r="F649" s="1"/>
  <c r="F648" s="1"/>
  <c r="G650"/>
  <c r="G649" s="1"/>
  <c r="G648" s="1"/>
  <c r="E650"/>
  <c r="E649" s="1"/>
  <c r="E648" s="1"/>
  <c r="F658"/>
  <c r="G658"/>
  <c r="E658"/>
  <c r="F660"/>
  <c r="G660"/>
  <c r="E660"/>
  <c r="F665"/>
  <c r="F664" s="1"/>
  <c r="G665"/>
  <c r="G664" s="1"/>
  <c r="D179" i="147"/>
  <c r="D178" s="1"/>
  <c r="D177" s="1"/>
  <c r="F668" i="155"/>
  <c r="F182" i="147"/>
  <c r="F181" s="1"/>
  <c r="D182"/>
  <c r="D181" s="1"/>
  <c r="F670" i="155"/>
  <c r="F184" i="147"/>
  <c r="F183" s="1"/>
  <c r="E670" i="155"/>
  <c r="F672"/>
  <c r="F186" i="147"/>
  <c r="F185" s="1"/>
  <c r="E672" i="155"/>
  <c r="F684"/>
  <c r="F683" s="1"/>
  <c r="F682" s="1"/>
  <c r="G684"/>
  <c r="F212" i="147" s="1"/>
  <c r="F211" s="1"/>
  <c r="F210" s="1"/>
  <c r="E684" i="155"/>
  <c r="E683" s="1"/>
  <c r="E682" s="1"/>
  <c r="F687"/>
  <c r="F686" s="1"/>
  <c r="F685" s="1"/>
  <c r="G687"/>
  <c r="F215" i="147" s="1"/>
  <c r="F214" s="1"/>
  <c r="F213" s="1"/>
  <c r="E687" i="155"/>
  <c r="E686" s="1"/>
  <c r="E685" s="1"/>
  <c r="F690"/>
  <c r="F689" s="1"/>
  <c r="F688" s="1"/>
  <c r="G690"/>
  <c r="G689" s="1"/>
  <c r="G688" s="1"/>
  <c r="E690"/>
  <c r="E689" s="1"/>
  <c r="E688" s="1"/>
  <c r="G600"/>
  <c r="F600"/>
  <c r="E600"/>
  <c r="G598"/>
  <c r="F598"/>
  <c r="E598"/>
  <c r="G432"/>
  <c r="G431" s="1"/>
  <c r="G427" s="1"/>
  <c r="F432"/>
  <c r="F431" s="1"/>
  <c r="F427" s="1"/>
  <c r="E432"/>
  <c r="E431" s="1"/>
  <c r="E427" s="1"/>
  <c r="G424"/>
  <c r="G423" s="1"/>
  <c r="G422" s="1"/>
  <c r="G421" s="1"/>
  <c r="F424"/>
  <c r="F423" s="1"/>
  <c r="F422" s="1"/>
  <c r="F421" s="1"/>
  <c r="E424"/>
  <c r="E423" s="1"/>
  <c r="E422" s="1"/>
  <c r="E421" s="1"/>
  <c r="F415" i="147"/>
  <c r="F414" s="1"/>
  <c r="F413" s="1"/>
  <c r="D415"/>
  <c r="D414" s="1"/>
  <c r="D413" s="1"/>
  <c r="G103" i="155"/>
  <c r="G102" s="1"/>
  <c r="G101" s="1"/>
  <c r="F103"/>
  <c r="F102" s="1"/>
  <c r="F101" s="1"/>
  <c r="G13"/>
  <c r="G12" s="1"/>
  <c r="G11" s="1"/>
  <c r="G10" s="1"/>
  <c r="G9" s="1"/>
  <c r="F13"/>
  <c r="F12" s="1"/>
  <c r="F11" s="1"/>
  <c r="F10" s="1"/>
  <c r="F9" s="1"/>
  <c r="E13"/>
  <c r="E12" s="1"/>
  <c r="E11" s="1"/>
  <c r="E10" s="1"/>
  <c r="E9" s="1"/>
  <c r="H474" i="154"/>
  <c r="G474"/>
  <c r="F474"/>
  <c r="H472"/>
  <c r="G472"/>
  <c r="F472"/>
  <c r="H470"/>
  <c r="G470"/>
  <c r="F470"/>
  <c r="H467"/>
  <c r="H466" s="1"/>
  <c r="G467"/>
  <c r="G466" s="1"/>
  <c r="F467"/>
  <c r="F466" s="1"/>
  <c r="H464"/>
  <c r="G464"/>
  <c r="F464"/>
  <c r="H462"/>
  <c r="G462"/>
  <c r="F462"/>
  <c r="H460"/>
  <c r="G460"/>
  <c r="F460"/>
  <c r="H452"/>
  <c r="H451" s="1"/>
  <c r="H450" s="1"/>
  <c r="G452"/>
  <c r="G451" s="1"/>
  <c r="G450" s="1"/>
  <c r="F452"/>
  <c r="F451" s="1"/>
  <c r="F450" s="1"/>
  <c r="H448"/>
  <c r="H447" s="1"/>
  <c r="H446" s="1"/>
  <c r="G448"/>
  <c r="G447" s="1"/>
  <c r="G446" s="1"/>
  <c r="F448"/>
  <c r="F447" s="1"/>
  <c r="F446" s="1"/>
  <c r="H440"/>
  <c r="H439" s="1"/>
  <c r="G440"/>
  <c r="G439" s="1"/>
  <c r="F440"/>
  <c r="F439" s="1"/>
  <c r="H361"/>
  <c r="H360" s="1"/>
  <c r="G361"/>
  <c r="G360" s="1"/>
  <c r="F361"/>
  <c r="F360" s="1"/>
  <c r="H358"/>
  <c r="H357" s="1"/>
  <c r="G358"/>
  <c r="G357" s="1"/>
  <c r="F358"/>
  <c r="F357" s="1"/>
  <c r="H355"/>
  <c r="H354" s="1"/>
  <c r="G355"/>
  <c r="G354" s="1"/>
  <c r="F355"/>
  <c r="F354" s="1"/>
  <c r="H342"/>
  <c r="H341" s="1"/>
  <c r="H340" s="1"/>
  <c r="G342"/>
  <c r="G341" s="1"/>
  <c r="G340" s="1"/>
  <c r="F342"/>
  <c r="F341" s="1"/>
  <c r="F340" s="1"/>
  <c r="H85"/>
  <c r="H84" s="1"/>
  <c r="H83" s="1"/>
  <c r="G85"/>
  <c r="G84" s="1"/>
  <c r="G83" s="1"/>
  <c r="F85"/>
  <c r="F84" s="1"/>
  <c r="F83" s="1"/>
  <c r="E100" i="155" l="1"/>
  <c r="E99" s="1"/>
  <c r="G100"/>
  <c r="G99" s="1"/>
  <c r="F100"/>
  <c r="F99" s="1"/>
  <c r="E340"/>
  <c r="E339" s="1"/>
  <c r="F387"/>
  <c r="F386" s="1"/>
  <c r="F340"/>
  <c r="F339" s="1"/>
  <c r="E387"/>
  <c r="E615"/>
  <c r="G615"/>
  <c r="F615"/>
  <c r="E678"/>
  <c r="E677" s="1"/>
  <c r="E676" s="1"/>
  <c r="E675" s="1"/>
  <c r="F678"/>
  <c r="F677" s="1"/>
  <c r="F676" s="1"/>
  <c r="F675" s="1"/>
  <c r="F667"/>
  <c r="E285"/>
  <c r="E280" s="1"/>
  <c r="F272" i="147"/>
  <c r="F267" s="1"/>
  <c r="F285" i="155"/>
  <c r="F280" s="1"/>
  <c r="G160"/>
  <c r="F520" i="147"/>
  <c r="F519" s="1"/>
  <c r="E162" i="155"/>
  <c r="D522" i="147"/>
  <c r="D521" s="1"/>
  <c r="F162" i="155"/>
  <c r="E522" i="147"/>
  <c r="E521" s="1"/>
  <c r="E160" i="155"/>
  <c r="D520" i="147"/>
  <c r="D519" s="1"/>
  <c r="G162" i="155"/>
  <c r="F522" i="147"/>
  <c r="F521" s="1"/>
  <c r="G56" i="155"/>
  <c r="G55" s="1"/>
  <c r="G54" s="1"/>
  <c r="G53" s="1"/>
  <c r="G52" s="1"/>
  <c r="E13" i="143" s="1"/>
  <c r="E539" i="155"/>
  <c r="D507" i="147"/>
  <c r="D506" s="1"/>
  <c r="F539" i="155"/>
  <c r="E507" i="147"/>
  <c r="E506" s="1"/>
  <c r="G539" i="155"/>
  <c r="F507" i="147"/>
  <c r="F506" s="1"/>
  <c r="E56" i="155"/>
  <c r="E55" s="1"/>
  <c r="E54" s="1"/>
  <c r="E53" s="1"/>
  <c r="E52" s="1"/>
  <c r="C13" i="143" s="1"/>
  <c r="F56" i="155"/>
  <c r="F55" s="1"/>
  <c r="F54" s="1"/>
  <c r="F53" s="1"/>
  <c r="F52" s="1"/>
  <c r="D13" i="143" s="1"/>
  <c r="E546" i="155"/>
  <c r="G546"/>
  <c r="F546"/>
  <c r="F402" i="147"/>
  <c r="D402"/>
  <c r="E402"/>
  <c r="E256" i="155"/>
  <c r="E255" s="1"/>
  <c r="F256"/>
  <c r="F255" s="1"/>
  <c r="G256"/>
  <c r="E38"/>
  <c r="F38"/>
  <c r="G38"/>
  <c r="E412"/>
  <c r="E411" s="1"/>
  <c r="E407" s="1"/>
  <c r="D59" i="147"/>
  <c r="D58" s="1"/>
  <c r="D48" s="1"/>
  <c r="E657" i="155"/>
  <c r="F459" i="154"/>
  <c r="F657" i="155"/>
  <c r="G657"/>
  <c r="E181"/>
  <c r="E180" s="1"/>
  <c r="E179" s="1"/>
  <c r="C20" i="143" s="1"/>
  <c r="F181" i="155"/>
  <c r="F180" s="1"/>
  <c r="F179" s="1"/>
  <c r="D20" i="143" s="1"/>
  <c r="D27"/>
  <c r="C27"/>
  <c r="G683" i="155"/>
  <c r="G682" s="1"/>
  <c r="E426"/>
  <c r="G426"/>
  <c r="F426"/>
  <c r="F484"/>
  <c r="G484"/>
  <c r="G686"/>
  <c r="G685" s="1"/>
  <c r="F233" i="147"/>
  <c r="F232" s="1"/>
  <c r="E9" i="143"/>
  <c r="D9"/>
  <c r="C9"/>
  <c r="G34" i="155"/>
  <c r="F497" i="147"/>
  <c r="F496" s="1"/>
  <c r="F172" i="155"/>
  <c r="F171" s="1"/>
  <c r="E512" i="147"/>
  <c r="E511" s="1"/>
  <c r="E510" s="1"/>
  <c r="E34" i="155"/>
  <c r="D497" i="147"/>
  <c r="D496" s="1"/>
  <c r="E172" i="155"/>
  <c r="E171" s="1"/>
  <c r="D512" i="147"/>
  <c r="D511" s="1"/>
  <c r="D510" s="1"/>
  <c r="F36" i="155"/>
  <c r="E499" i="147"/>
  <c r="E498" s="1"/>
  <c r="G172" i="155"/>
  <c r="G171" s="1"/>
  <c r="F512" i="147"/>
  <c r="F511" s="1"/>
  <c r="F510" s="1"/>
  <c r="E36" i="155"/>
  <c r="D499" i="147"/>
  <c r="D498" s="1"/>
  <c r="F304" i="155"/>
  <c r="F303" s="1"/>
  <c r="F296" s="1"/>
  <c r="E516"/>
  <c r="E515" s="1"/>
  <c r="G94"/>
  <c r="G93" s="1"/>
  <c r="G92" s="1"/>
  <c r="G670"/>
  <c r="G184"/>
  <c r="G183" s="1"/>
  <c r="G182" s="1"/>
  <c r="F151"/>
  <c r="G459" i="154"/>
  <c r="G135" i="155"/>
  <c r="G134" s="1"/>
  <c r="G133" s="1"/>
  <c r="G132" s="1"/>
  <c r="E521"/>
  <c r="F521"/>
  <c r="G268"/>
  <c r="G267" s="1"/>
  <c r="G266" s="1"/>
  <c r="G265" s="1"/>
  <c r="G177"/>
  <c r="G174" s="1"/>
  <c r="E496" i="147"/>
  <c r="G85" i="155"/>
  <c r="G84" s="1"/>
  <c r="G83" s="1"/>
  <c r="E326"/>
  <c r="E325" s="1"/>
  <c r="E306" s="1"/>
  <c r="F480"/>
  <c r="F479" s="1"/>
  <c r="F478" s="1"/>
  <c r="F477" s="1"/>
  <c r="F476" s="1"/>
  <c r="F475" s="1"/>
  <c r="D33" i="143" s="1"/>
  <c r="F123" i="155"/>
  <c r="F122" s="1"/>
  <c r="F121" s="1"/>
  <c r="F120" s="1"/>
  <c r="G290"/>
  <c r="G289" s="1"/>
  <c r="G507"/>
  <c r="G506" s="1"/>
  <c r="D445" i="147"/>
  <c r="D444" s="1"/>
  <c r="D443" s="1"/>
  <c r="D442" s="1"/>
  <c r="D322"/>
  <c r="D321" s="1"/>
  <c r="D320" s="1"/>
  <c r="D319" s="1"/>
  <c r="D318" s="1"/>
  <c r="G27" i="155"/>
  <c r="G234"/>
  <c r="G233" s="1"/>
  <c r="G229" s="1"/>
  <c r="G228" s="1"/>
  <c r="G389"/>
  <c r="G388" s="1"/>
  <c r="G387" s="1"/>
  <c r="E492"/>
  <c r="E491" s="1"/>
  <c r="E485" s="1"/>
  <c r="G668"/>
  <c r="E519" i="147"/>
  <c r="F502"/>
  <c r="F501" s="1"/>
  <c r="E29"/>
  <c r="E28" s="1"/>
  <c r="D186"/>
  <c r="D185" s="1"/>
  <c r="E129"/>
  <c r="E128" s="1"/>
  <c r="E127" s="1"/>
  <c r="E126" s="1"/>
  <c r="F149" i="155"/>
  <c r="D212" i="147"/>
  <c r="D211" s="1"/>
  <c r="D210" s="1"/>
  <c r="F34" i="155"/>
  <c r="G276"/>
  <c r="G275" s="1"/>
  <c r="G274" s="1"/>
  <c r="G273" s="1"/>
  <c r="G272" s="1"/>
  <c r="G271" s="1"/>
  <c r="G510"/>
  <c r="G509" s="1"/>
  <c r="F498" i="147"/>
  <c r="F509"/>
  <c r="F508" s="1"/>
  <c r="D13"/>
  <c r="D12" s="1"/>
  <c r="D11" s="1"/>
  <c r="D184"/>
  <c r="D183" s="1"/>
  <c r="E245"/>
  <c r="E244" s="1"/>
  <c r="E243" s="1"/>
  <c r="G527" i="155"/>
  <c r="F98" i="147"/>
  <c r="E527" i="155"/>
  <c r="D99" i="147"/>
  <c r="D98" s="1"/>
  <c r="E491"/>
  <c r="E490" s="1"/>
  <c r="F299"/>
  <c r="F298" s="1"/>
  <c r="F297" s="1"/>
  <c r="F438"/>
  <c r="F437" s="1"/>
  <c r="F436" s="1"/>
  <c r="F197"/>
  <c r="F196" s="1"/>
  <c r="F193" s="1"/>
  <c r="G326" i="155"/>
  <c r="G325" s="1"/>
  <c r="G306" s="1"/>
  <c r="E441" i="147"/>
  <c r="E440" s="1"/>
  <c r="E439" s="1"/>
  <c r="D175"/>
  <c r="D230"/>
  <c r="D229" s="1"/>
  <c r="D228" s="1"/>
  <c r="F248"/>
  <c r="F247" s="1"/>
  <c r="F246" s="1"/>
  <c r="G23" i="155"/>
  <c r="F199"/>
  <c r="F198" s="1"/>
  <c r="F197" s="1"/>
  <c r="F196" s="1"/>
  <c r="F195" s="1"/>
  <c r="F194" s="1"/>
  <c r="D23" i="143" s="1"/>
  <c r="F320" i="155"/>
  <c r="F319" s="1"/>
  <c r="G342"/>
  <c r="G341" s="1"/>
  <c r="E665"/>
  <c r="E664" s="1"/>
  <c r="D22" i="147"/>
  <c r="D21" s="1"/>
  <c r="D20" s="1"/>
  <c r="E494" i="155"/>
  <c r="E515" i="147"/>
  <c r="E514" s="1"/>
  <c r="D493"/>
  <c r="D492" s="1"/>
  <c r="D486"/>
  <c r="D485" s="1"/>
  <c r="D484" s="1"/>
  <c r="D305"/>
  <c r="D304" s="1"/>
  <c r="D303" s="1"/>
  <c r="E16"/>
  <c r="E15" s="1"/>
  <c r="E14" s="1"/>
  <c r="E47"/>
  <c r="E46" s="1"/>
  <c r="E45" s="1"/>
  <c r="E39" s="1"/>
  <c r="D174"/>
  <c r="D173" s="1"/>
  <c r="E182"/>
  <c r="E181" s="1"/>
  <c r="E200"/>
  <c r="E199" s="1"/>
  <c r="D222"/>
  <c r="D221" s="1"/>
  <c r="D220" s="1"/>
  <c r="F155"/>
  <c r="F154" s="1"/>
  <c r="F153" s="1"/>
  <c r="F152" s="1"/>
  <c r="F527" i="155"/>
  <c r="E98" i="147"/>
  <c r="D38"/>
  <c r="D37" s="1"/>
  <c r="D36" s="1"/>
  <c r="D32" s="1"/>
  <c r="F175"/>
  <c r="F230"/>
  <c r="F229" s="1"/>
  <c r="F228" s="1"/>
  <c r="G206" i="155"/>
  <c r="G205" s="1"/>
  <c r="G204" s="1"/>
  <c r="G203" s="1"/>
  <c r="D502" i="147"/>
  <c r="D501" s="1"/>
  <c r="F292"/>
  <c r="F291" s="1"/>
  <c r="F290" s="1"/>
  <c r="F283" s="1"/>
  <c r="F308"/>
  <c r="F307" s="1"/>
  <c r="F306" s="1"/>
  <c r="D195"/>
  <c r="D194" s="1"/>
  <c r="G36" i="155"/>
  <c r="F160"/>
  <c r="F317"/>
  <c r="F316" s="1"/>
  <c r="E334"/>
  <c r="E333" s="1"/>
  <c r="E332" s="1"/>
  <c r="E331" s="1"/>
  <c r="G412"/>
  <c r="G411" s="1"/>
  <c r="G407" s="1"/>
  <c r="G501"/>
  <c r="G500" s="1"/>
  <c r="G499" s="1"/>
  <c r="G494" s="1"/>
  <c r="G523"/>
  <c r="G522" s="1"/>
  <c r="G672"/>
  <c r="F22" i="147"/>
  <c r="F21" s="1"/>
  <c r="F20" s="1"/>
  <c r="F10" s="1"/>
  <c r="E517"/>
  <c r="E516" s="1"/>
  <c r="E489"/>
  <c r="E488" s="1"/>
  <c r="E299"/>
  <c r="E298" s="1"/>
  <c r="E297" s="1"/>
  <c r="E314"/>
  <c r="E313" s="1"/>
  <c r="E312" s="1"/>
  <c r="D423"/>
  <c r="D422" s="1"/>
  <c r="D421" s="1"/>
  <c r="F38"/>
  <c r="F37" s="1"/>
  <c r="F36" s="1"/>
  <c r="F32" s="1"/>
  <c r="E172"/>
  <c r="E171" s="1"/>
  <c r="E179"/>
  <c r="E178" s="1"/>
  <c r="E177" s="1"/>
  <c r="E218"/>
  <c r="E217" s="1"/>
  <c r="E216" s="1"/>
  <c r="E234"/>
  <c r="D155"/>
  <c r="D154" s="1"/>
  <c r="D153" s="1"/>
  <c r="D152" s="1"/>
  <c r="D504"/>
  <c r="D503" s="1"/>
  <c r="E426"/>
  <c r="E425" s="1"/>
  <c r="E424" s="1"/>
  <c r="D31"/>
  <c r="D30" s="1"/>
  <c r="D92"/>
  <c r="D91" s="1"/>
  <c r="D90" s="1"/>
  <c r="E160"/>
  <c r="E159" s="1"/>
  <c r="E158" s="1"/>
  <c r="E157" s="1"/>
  <c r="E191"/>
  <c r="E190" s="1"/>
  <c r="E189" s="1"/>
  <c r="E188" s="1"/>
  <c r="D202"/>
  <c r="D201" s="1"/>
  <c r="E215"/>
  <c r="E214" s="1"/>
  <c r="E213" s="1"/>
  <c r="G25" i="155"/>
  <c r="F314"/>
  <c r="F313" s="1"/>
  <c r="D509" i="147"/>
  <c r="D508" s="1"/>
  <c r="D278"/>
  <c r="D277" s="1"/>
  <c r="D276" s="1"/>
  <c r="E326"/>
  <c r="E325" s="1"/>
  <c r="E324" s="1"/>
  <c r="E323" s="1"/>
  <c r="E318" s="1"/>
  <c r="D438"/>
  <c r="D437" s="1"/>
  <c r="D436" s="1"/>
  <c r="F450"/>
  <c r="F449" s="1"/>
  <c r="F448" s="1"/>
  <c r="F447" s="1"/>
  <c r="F446" s="1"/>
  <c r="E454"/>
  <c r="E453" s="1"/>
  <c r="E452" s="1"/>
  <c r="E451" s="1"/>
  <c r="E446" s="1"/>
  <c r="E60"/>
  <c r="E59" s="1"/>
  <c r="E58" s="1"/>
  <c r="E48" s="1"/>
  <c r="F105"/>
  <c r="F104" s="1"/>
  <c r="F103" s="1"/>
  <c r="F102" s="1"/>
  <c r="D164"/>
  <c r="D163" s="1"/>
  <c r="D162" s="1"/>
  <c r="D161" s="1"/>
  <c r="F179"/>
  <c r="F178" s="1"/>
  <c r="F177" s="1"/>
  <c r="F191"/>
  <c r="F190" s="1"/>
  <c r="F189" s="1"/>
  <c r="F188" s="1"/>
  <c r="E238"/>
  <c r="E237" s="1"/>
  <c r="E236" s="1"/>
  <c r="D248"/>
  <c r="D247" s="1"/>
  <c r="D246" s="1"/>
  <c r="E242"/>
  <c r="E241" s="1"/>
  <c r="E240" s="1"/>
  <c r="F129"/>
  <c r="F128" s="1"/>
  <c r="F127" s="1"/>
  <c r="F126" s="1"/>
  <c r="E122"/>
  <c r="E121" s="1"/>
  <c r="E120" s="1"/>
  <c r="E116" s="1"/>
  <c r="D517"/>
  <c r="D516" s="1"/>
  <c r="F515"/>
  <c r="F514" s="1"/>
  <c r="F513" s="1"/>
  <c r="D491"/>
  <c r="D490" s="1"/>
  <c r="E486"/>
  <c r="E485" s="1"/>
  <c r="E484" s="1"/>
  <c r="D299"/>
  <c r="D298" s="1"/>
  <c r="D297" s="1"/>
  <c r="F302"/>
  <c r="F301" s="1"/>
  <c r="F300" s="1"/>
  <c r="F326"/>
  <c r="F325" s="1"/>
  <c r="F324" s="1"/>
  <c r="F323" s="1"/>
  <c r="F318" s="1"/>
  <c r="E332"/>
  <c r="E331" s="1"/>
  <c r="E330" s="1"/>
  <c r="E329" s="1"/>
  <c r="E328" s="1"/>
  <c r="D360"/>
  <c r="D359" s="1"/>
  <c r="D358" s="1"/>
  <c r="D354" s="1"/>
  <c r="D353" s="1"/>
  <c r="D426"/>
  <c r="D425" s="1"/>
  <c r="D424" s="1"/>
  <c r="F441"/>
  <c r="F440" s="1"/>
  <c r="F439" s="1"/>
  <c r="E445"/>
  <c r="E444" s="1"/>
  <c r="E443" s="1"/>
  <c r="E442" s="1"/>
  <c r="D450"/>
  <c r="D449" s="1"/>
  <c r="D448" s="1"/>
  <c r="D447" s="1"/>
  <c r="E22"/>
  <c r="E21" s="1"/>
  <c r="E20" s="1"/>
  <c r="D16"/>
  <c r="D15" s="1"/>
  <c r="D14" s="1"/>
  <c r="F29"/>
  <c r="F28" s="1"/>
  <c r="E31"/>
  <c r="E30" s="1"/>
  <c r="D105"/>
  <c r="D104" s="1"/>
  <c r="D103" s="1"/>
  <c r="D102" s="1"/>
  <c r="E92"/>
  <c r="E91" s="1"/>
  <c r="E90" s="1"/>
  <c r="D160"/>
  <c r="D159" s="1"/>
  <c r="D158" s="1"/>
  <c r="D157" s="1"/>
  <c r="F172"/>
  <c r="F171" s="1"/>
  <c r="E174"/>
  <c r="E173" s="1"/>
  <c r="E184"/>
  <c r="E183" s="1"/>
  <c r="D191"/>
  <c r="D190" s="1"/>
  <c r="D189" s="1"/>
  <c r="D188" s="1"/>
  <c r="F200"/>
  <c r="F199" s="1"/>
  <c r="E202"/>
  <c r="E201" s="1"/>
  <c r="D215"/>
  <c r="D214" s="1"/>
  <c r="D213" s="1"/>
  <c r="F218"/>
  <c r="F217" s="1"/>
  <c r="F216" s="1"/>
  <c r="F206" s="1"/>
  <c r="E222"/>
  <c r="E221" s="1"/>
  <c r="E220" s="1"/>
  <c r="D234"/>
  <c r="F238"/>
  <c r="F237" s="1"/>
  <c r="F236" s="1"/>
  <c r="E251"/>
  <c r="E250" s="1"/>
  <c r="E249" s="1"/>
  <c r="D245"/>
  <c r="D244" s="1"/>
  <c r="D243" s="1"/>
  <c r="D129"/>
  <c r="D128" s="1"/>
  <c r="D127" s="1"/>
  <c r="D126" s="1"/>
  <c r="F122"/>
  <c r="F121" s="1"/>
  <c r="F120" s="1"/>
  <c r="F116" s="1"/>
  <c r="D197"/>
  <c r="D196" s="1"/>
  <c r="D332"/>
  <c r="D331" s="1"/>
  <c r="D330" s="1"/>
  <c r="D329" s="1"/>
  <c r="D328" s="1"/>
  <c r="E360"/>
  <c r="E359" s="1"/>
  <c r="E358" s="1"/>
  <c r="E354" s="1"/>
  <c r="E353" s="1"/>
  <c r="E105"/>
  <c r="E104" s="1"/>
  <c r="E103" s="1"/>
  <c r="E102" s="1"/>
  <c r="F164"/>
  <c r="F163" s="1"/>
  <c r="F162" s="1"/>
  <c r="F161" s="1"/>
  <c r="D292"/>
  <c r="D291" s="1"/>
  <c r="D290" s="1"/>
  <c r="D283" s="1"/>
  <c r="D308"/>
  <c r="D307" s="1"/>
  <c r="D306" s="1"/>
  <c r="E377"/>
  <c r="E376" s="1"/>
  <c r="E375" s="1"/>
  <c r="E374" s="1"/>
  <c r="F47"/>
  <c r="F46" s="1"/>
  <c r="F45" s="1"/>
  <c r="F39" s="1"/>
  <c r="E109"/>
  <c r="E108" s="1"/>
  <c r="E107" s="1"/>
  <c r="E106" s="1"/>
  <c r="F160"/>
  <c r="F159" s="1"/>
  <c r="F158" s="1"/>
  <c r="F157" s="1"/>
  <c r="E195"/>
  <c r="E194" s="1"/>
  <c r="F112" i="155"/>
  <c r="G199"/>
  <c r="G198" s="1"/>
  <c r="G197" s="1"/>
  <c r="G196" s="1"/>
  <c r="G195" s="1"/>
  <c r="G194" s="1"/>
  <c r="E23" i="143" s="1"/>
  <c r="G348" i="155"/>
  <c r="G347" s="1"/>
  <c r="G340" s="1"/>
  <c r="E668"/>
  <c r="E667" s="1"/>
  <c r="D524" i="147"/>
  <c r="D523" s="1"/>
  <c r="D515"/>
  <c r="D514" s="1"/>
  <c r="F504"/>
  <c r="F503" s="1"/>
  <c r="E509"/>
  <c r="E508" s="1"/>
  <c r="E493"/>
  <c r="E492" s="1"/>
  <c r="D489"/>
  <c r="D488" s="1"/>
  <c r="F486"/>
  <c r="F485" s="1"/>
  <c r="F484" s="1"/>
  <c r="E278"/>
  <c r="E277" s="1"/>
  <c r="E276" s="1"/>
  <c r="D302"/>
  <c r="D301" s="1"/>
  <c r="D300" s="1"/>
  <c r="F305"/>
  <c r="F304" s="1"/>
  <c r="F303" s="1"/>
  <c r="D377"/>
  <c r="D376" s="1"/>
  <c r="D375" s="1"/>
  <c r="D374" s="1"/>
  <c r="E423"/>
  <c r="E422" s="1"/>
  <c r="E421" s="1"/>
  <c r="D441"/>
  <c r="D440" s="1"/>
  <c r="D439" s="1"/>
  <c r="F445"/>
  <c r="F444" s="1"/>
  <c r="F443" s="1"/>
  <c r="F442" s="1"/>
  <c r="D454"/>
  <c r="D453" s="1"/>
  <c r="D452" s="1"/>
  <c r="D451" s="1"/>
  <c r="E13"/>
  <c r="E12" s="1"/>
  <c r="E11" s="1"/>
  <c r="D29"/>
  <c r="D28" s="1"/>
  <c r="F31"/>
  <c r="F30" s="1"/>
  <c r="E38"/>
  <c r="E37" s="1"/>
  <c r="E36" s="1"/>
  <c r="E32" s="1"/>
  <c r="D109"/>
  <c r="D108" s="1"/>
  <c r="D107" s="1"/>
  <c r="D106" s="1"/>
  <c r="E164"/>
  <c r="E163" s="1"/>
  <c r="E162" s="1"/>
  <c r="E161" s="1"/>
  <c r="D172"/>
  <c r="D171" s="1"/>
  <c r="F174"/>
  <c r="F173" s="1"/>
  <c r="E175"/>
  <c r="E186"/>
  <c r="E185" s="1"/>
  <c r="D200"/>
  <c r="D199" s="1"/>
  <c r="F202"/>
  <c r="F201" s="1"/>
  <c r="E212"/>
  <c r="E211" s="1"/>
  <c r="E210" s="1"/>
  <c r="D218"/>
  <c r="D217" s="1"/>
  <c r="D216" s="1"/>
  <c r="F222"/>
  <c r="F221" s="1"/>
  <c r="F220" s="1"/>
  <c r="E230"/>
  <c r="E229" s="1"/>
  <c r="E228" s="1"/>
  <c r="D238"/>
  <c r="D237" s="1"/>
  <c r="D236" s="1"/>
  <c r="F251"/>
  <c r="F250" s="1"/>
  <c r="F249" s="1"/>
  <c r="E248"/>
  <c r="E247" s="1"/>
  <c r="E246" s="1"/>
  <c r="D242"/>
  <c r="D241" s="1"/>
  <c r="D240" s="1"/>
  <c r="D122"/>
  <c r="D121" s="1"/>
  <c r="D120" s="1"/>
  <c r="D116" s="1"/>
  <c r="E155"/>
  <c r="E154" s="1"/>
  <c r="E153" s="1"/>
  <c r="E152" s="1"/>
  <c r="E197"/>
  <c r="E196" s="1"/>
  <c r="E225"/>
  <c r="E224" s="1"/>
  <c r="D482"/>
  <c r="D481" s="1"/>
  <c r="D480" s="1"/>
  <c r="E95"/>
  <c r="E94" s="1"/>
  <c r="E93" s="1"/>
  <c r="F227"/>
  <c r="F226" s="1"/>
  <c r="E482"/>
  <c r="E481" s="1"/>
  <c r="E480" s="1"/>
  <c r="F95"/>
  <c r="F94" s="1"/>
  <c r="F93" s="1"/>
  <c r="F86" s="1"/>
  <c r="D225"/>
  <c r="D224" s="1"/>
  <c r="F225"/>
  <c r="F224" s="1"/>
  <c r="F482"/>
  <c r="F481" s="1"/>
  <c r="F480" s="1"/>
  <c r="E415"/>
  <c r="E414" s="1"/>
  <c r="E413" s="1"/>
  <c r="D95"/>
  <c r="D94" s="1"/>
  <c r="D93" s="1"/>
  <c r="D227"/>
  <c r="D226" s="1"/>
  <c r="E227"/>
  <c r="E226" s="1"/>
  <c r="E597" i="155"/>
  <c r="H8" i="171" s="1"/>
  <c r="E500" i="147"/>
  <c r="F487"/>
  <c r="F373"/>
  <c r="F372" s="1"/>
  <c r="F180"/>
  <c r="G148" i="155"/>
  <c r="G112"/>
  <c r="E112"/>
  <c r="E84"/>
  <c r="E83" s="1"/>
  <c r="F496"/>
  <c r="F495" s="1"/>
  <c r="F494" s="1"/>
  <c r="E22"/>
  <c r="F92"/>
  <c r="F597"/>
  <c r="I8" i="171" s="1"/>
  <c r="F84" i="155"/>
  <c r="F83" s="1"/>
  <c r="E92"/>
  <c r="F22"/>
  <c r="F18" s="1"/>
  <c r="G626"/>
  <c r="G625" s="1"/>
  <c r="G624" s="1"/>
  <c r="G623" s="1"/>
  <c r="F626"/>
  <c r="F625" s="1"/>
  <c r="F624" s="1"/>
  <c r="F623" s="1"/>
  <c r="F505"/>
  <c r="F504" s="1"/>
  <c r="F503" s="1"/>
  <c r="G597"/>
  <c r="J8" i="171" s="1"/>
  <c r="G121" i="155"/>
  <c r="G120" s="1"/>
  <c r="F174"/>
  <c r="F610"/>
  <c r="G610"/>
  <c r="E610"/>
  <c r="E121"/>
  <c r="E120" s="1"/>
  <c r="E174"/>
  <c r="E148"/>
  <c r="E626"/>
  <c r="E625" s="1"/>
  <c r="E624" s="1"/>
  <c r="E623" s="1"/>
  <c r="H459" i="154"/>
  <c r="G469"/>
  <c r="H469"/>
  <c r="F469"/>
  <c r="G82"/>
  <c r="H82"/>
  <c r="F82"/>
  <c r="H122"/>
  <c r="H785"/>
  <c r="H782" s="1"/>
  <c r="G785"/>
  <c r="G782" s="1"/>
  <c r="F785"/>
  <c r="F783"/>
  <c r="H775"/>
  <c r="G775"/>
  <c r="F775"/>
  <c r="H773"/>
  <c r="G773"/>
  <c r="F773"/>
  <c r="H761"/>
  <c r="G761"/>
  <c r="F761"/>
  <c r="H757"/>
  <c r="H756" s="1"/>
  <c r="G757"/>
  <c r="G756" s="1"/>
  <c r="F757"/>
  <c r="F756" s="1"/>
  <c r="H750"/>
  <c r="H749" s="1"/>
  <c r="H743" s="1"/>
  <c r="G750"/>
  <c r="G749" s="1"/>
  <c r="G743" s="1"/>
  <c r="F750"/>
  <c r="F749" s="1"/>
  <c r="F743" s="1"/>
  <c r="H727"/>
  <c r="H726" s="1"/>
  <c r="H719" s="1"/>
  <c r="G727"/>
  <c r="G726" s="1"/>
  <c r="G719" s="1"/>
  <c r="F727"/>
  <c r="F726" s="1"/>
  <c r="F719" s="1"/>
  <c r="H697"/>
  <c r="H696" s="1"/>
  <c r="H692" s="1"/>
  <c r="G697"/>
  <c r="G696" s="1"/>
  <c r="G692" s="1"/>
  <c r="F697"/>
  <c r="F696" s="1"/>
  <c r="F692" s="1"/>
  <c r="H689"/>
  <c r="H688" s="1"/>
  <c r="H687" s="1"/>
  <c r="H686" s="1"/>
  <c r="G689"/>
  <c r="G688" s="1"/>
  <c r="G687" s="1"/>
  <c r="G686" s="1"/>
  <c r="F689"/>
  <c r="F688" s="1"/>
  <c r="F687" s="1"/>
  <c r="F686" s="1"/>
  <c r="H677"/>
  <c r="H676" s="1"/>
  <c r="H672" s="1"/>
  <c r="G677"/>
  <c r="G676" s="1"/>
  <c r="G672" s="1"/>
  <c r="F677"/>
  <c r="F676" s="1"/>
  <c r="F672" s="1"/>
  <c r="H670"/>
  <c r="H669" s="1"/>
  <c r="H665" s="1"/>
  <c r="G670"/>
  <c r="G669" s="1"/>
  <c r="G665" s="1"/>
  <c r="F670"/>
  <c r="F669" s="1"/>
  <c r="F665" s="1"/>
  <c r="H654"/>
  <c r="H653" s="1"/>
  <c r="G654"/>
  <c r="G653" s="1"/>
  <c r="F654"/>
  <c r="F653" s="1"/>
  <c r="H660"/>
  <c r="H659" s="1"/>
  <c r="G660"/>
  <c r="G659" s="1"/>
  <c r="F660"/>
  <c r="F659" s="1"/>
  <c r="H622"/>
  <c r="H621" s="1"/>
  <c r="G622"/>
  <c r="G621" s="1"/>
  <c r="F622"/>
  <c r="F621" s="1"/>
  <c r="H628"/>
  <c r="H627" s="1"/>
  <c r="G628"/>
  <c r="G627" s="1"/>
  <c r="F628"/>
  <c r="F627" s="1"/>
  <c r="H614"/>
  <c r="H613" s="1"/>
  <c r="H612" s="1"/>
  <c r="H611" s="1"/>
  <c r="H610" s="1"/>
  <c r="H609" s="1"/>
  <c r="H608" s="1"/>
  <c r="G614"/>
  <c r="G613" s="1"/>
  <c r="G612" s="1"/>
  <c r="G611" s="1"/>
  <c r="G610" s="1"/>
  <c r="G609" s="1"/>
  <c r="G608" s="1"/>
  <c r="F614"/>
  <c r="F613" s="1"/>
  <c r="F612" s="1"/>
  <c r="F611" s="1"/>
  <c r="F610" s="1"/>
  <c r="F609" s="1"/>
  <c r="F608" s="1"/>
  <c r="H597"/>
  <c r="G597"/>
  <c r="F597"/>
  <c r="H595"/>
  <c r="G595"/>
  <c r="F595"/>
  <c r="H593"/>
  <c r="G593"/>
  <c r="F593"/>
  <c r="H590"/>
  <c r="H589" s="1"/>
  <c r="G590"/>
  <c r="G589" s="1"/>
  <c r="F590"/>
  <c r="F589" s="1"/>
  <c r="H570"/>
  <c r="H569" s="1"/>
  <c r="H568" s="1"/>
  <c r="H567" s="1"/>
  <c r="H566" s="1"/>
  <c r="H565" s="1"/>
  <c r="H564" s="1"/>
  <c r="G570"/>
  <c r="G569" s="1"/>
  <c r="G568" s="1"/>
  <c r="G567" s="1"/>
  <c r="G566" s="1"/>
  <c r="G565" s="1"/>
  <c r="G564" s="1"/>
  <c r="F570"/>
  <c r="F569" s="1"/>
  <c r="F568" s="1"/>
  <c r="F567" s="1"/>
  <c r="F566" s="1"/>
  <c r="F565" s="1"/>
  <c r="F564" s="1"/>
  <c r="H562"/>
  <c r="H561" s="1"/>
  <c r="H560" s="1"/>
  <c r="H559" s="1"/>
  <c r="H558" s="1"/>
  <c r="H557" s="1"/>
  <c r="H556" s="1"/>
  <c r="G562"/>
  <c r="G561" s="1"/>
  <c r="G560" s="1"/>
  <c r="G559" s="1"/>
  <c r="G558" s="1"/>
  <c r="G557" s="1"/>
  <c r="G556" s="1"/>
  <c r="F562"/>
  <c r="F561" s="1"/>
  <c r="F560" s="1"/>
  <c r="F559" s="1"/>
  <c r="F558" s="1"/>
  <c r="F557" s="1"/>
  <c r="F556" s="1"/>
  <c r="H554"/>
  <c r="H553" s="1"/>
  <c r="G554"/>
  <c r="G553" s="1"/>
  <c r="F554"/>
  <c r="F553" s="1"/>
  <c r="H538"/>
  <c r="H537" s="1"/>
  <c r="G538"/>
  <c r="G537" s="1"/>
  <c r="F538"/>
  <c r="F537" s="1"/>
  <c r="H535"/>
  <c r="H534" s="1"/>
  <c r="G535"/>
  <c r="G534" s="1"/>
  <c r="F535"/>
  <c r="F534" s="1"/>
  <c r="H515"/>
  <c r="H514" s="1"/>
  <c r="H513" s="1"/>
  <c r="H512" s="1"/>
  <c r="G515"/>
  <c r="G514" s="1"/>
  <c r="G513" s="1"/>
  <c r="G512" s="1"/>
  <c r="F515"/>
  <c r="F514" s="1"/>
  <c r="F513" s="1"/>
  <c r="F512" s="1"/>
  <c r="H508"/>
  <c r="H507" s="1"/>
  <c r="H506" s="1"/>
  <c r="H505" s="1"/>
  <c r="H504" s="1"/>
  <c r="G508"/>
  <c r="G507" s="1"/>
  <c r="G506" s="1"/>
  <c r="G505" s="1"/>
  <c r="G504" s="1"/>
  <c r="F508"/>
  <c r="F507" s="1"/>
  <c r="F506" s="1"/>
  <c r="F505" s="1"/>
  <c r="F504" s="1"/>
  <c r="G502"/>
  <c r="F502"/>
  <c r="H500"/>
  <c r="G500"/>
  <c r="F500"/>
  <c r="H491"/>
  <c r="H490" s="1"/>
  <c r="G491"/>
  <c r="G490" s="1"/>
  <c r="F491"/>
  <c r="F490" s="1"/>
  <c r="H488"/>
  <c r="H487" s="1"/>
  <c r="G488"/>
  <c r="G487" s="1"/>
  <c r="F488"/>
  <c r="F487" s="1"/>
  <c r="H485"/>
  <c r="H484" s="1"/>
  <c r="G485"/>
  <c r="G484" s="1"/>
  <c r="F485"/>
  <c r="F484" s="1"/>
  <c r="H437"/>
  <c r="H436" s="1"/>
  <c r="H435" s="1"/>
  <c r="G437"/>
  <c r="G436" s="1"/>
  <c r="G435" s="1"/>
  <c r="F437"/>
  <c r="F436" s="1"/>
  <c r="F435" s="1"/>
  <c r="H433"/>
  <c r="G433"/>
  <c r="F433"/>
  <c r="H431"/>
  <c r="G431"/>
  <c r="F431"/>
  <c r="H427"/>
  <c r="H426" s="1"/>
  <c r="H425" s="1"/>
  <c r="G427"/>
  <c r="G426" s="1"/>
  <c r="G425" s="1"/>
  <c r="F427"/>
  <c r="F426" s="1"/>
  <c r="F425" s="1"/>
  <c r="H420"/>
  <c r="G420"/>
  <c r="F420"/>
  <c r="H418"/>
  <c r="G418"/>
  <c r="F418"/>
  <c r="H405"/>
  <c r="H404" s="1"/>
  <c r="H403" s="1"/>
  <c r="G405"/>
  <c r="G404" s="1"/>
  <c r="G403" s="1"/>
  <c r="F405"/>
  <c r="F404" s="1"/>
  <c r="F403" s="1"/>
  <c r="H379"/>
  <c r="H378" s="1"/>
  <c r="H377" s="1"/>
  <c r="G379"/>
  <c r="G378" s="1"/>
  <c r="G377" s="1"/>
  <c r="F379"/>
  <c r="F378" s="1"/>
  <c r="F377" s="1"/>
  <c r="H372"/>
  <c r="H371" s="1"/>
  <c r="H367" s="1"/>
  <c r="G372"/>
  <c r="G371" s="1"/>
  <c r="G367" s="1"/>
  <c r="F372"/>
  <c r="F371" s="1"/>
  <c r="F367" s="1"/>
  <c r="H352"/>
  <c r="H351" s="1"/>
  <c r="G352"/>
  <c r="G351" s="1"/>
  <c r="F352"/>
  <c r="F351" s="1"/>
  <c r="F350" s="1"/>
  <c r="H346"/>
  <c r="H345" s="1"/>
  <c r="H344" s="1"/>
  <c r="G346"/>
  <c r="G345" s="1"/>
  <c r="G344" s="1"/>
  <c r="G339" s="1"/>
  <c r="G333" s="1"/>
  <c r="F346"/>
  <c r="F345" s="1"/>
  <c r="F344" s="1"/>
  <c r="F339" s="1"/>
  <c r="F333" s="1"/>
  <c r="H330"/>
  <c r="H329" s="1"/>
  <c r="H328" s="1"/>
  <c r="H327" s="1"/>
  <c r="H326" s="1"/>
  <c r="H325" s="1"/>
  <c r="G330"/>
  <c r="G329" s="1"/>
  <c r="G328" s="1"/>
  <c r="G327" s="1"/>
  <c r="G326" s="1"/>
  <c r="G325" s="1"/>
  <c r="F330"/>
  <c r="F329" s="1"/>
  <c r="F328" s="1"/>
  <c r="F327" s="1"/>
  <c r="F326" s="1"/>
  <c r="F325" s="1"/>
  <c r="H312"/>
  <c r="H311" s="1"/>
  <c r="H304" s="1"/>
  <c r="G312"/>
  <c r="G311" s="1"/>
  <c r="G304" s="1"/>
  <c r="F312"/>
  <c r="F311" s="1"/>
  <c r="F304" s="1"/>
  <c r="H282"/>
  <c r="H281" s="1"/>
  <c r="H280" s="1"/>
  <c r="H279" s="1"/>
  <c r="G282"/>
  <c r="G281" s="1"/>
  <c r="G280" s="1"/>
  <c r="G279" s="1"/>
  <c r="F282"/>
  <c r="F281" s="1"/>
  <c r="F280" s="1"/>
  <c r="F279" s="1"/>
  <c r="H274"/>
  <c r="H273" s="1"/>
  <c r="G274"/>
  <c r="G273" s="1"/>
  <c r="F274"/>
  <c r="F273" s="1"/>
  <c r="H268"/>
  <c r="H267" s="1"/>
  <c r="G268"/>
  <c r="G267" s="1"/>
  <c r="F268"/>
  <c r="F267" s="1"/>
  <c r="H265"/>
  <c r="H264" s="1"/>
  <c r="G265"/>
  <c r="G264" s="1"/>
  <c r="F265"/>
  <c r="F264" s="1"/>
  <c r="H262"/>
  <c r="H261" s="1"/>
  <c r="G262"/>
  <c r="G261" s="1"/>
  <c r="F262"/>
  <c r="F261" s="1"/>
  <c r="H259"/>
  <c r="H258" s="1"/>
  <c r="G259"/>
  <c r="G258" s="1"/>
  <c r="F259"/>
  <c r="F258" s="1"/>
  <c r="H252"/>
  <c r="H251" s="1"/>
  <c r="H244" s="1"/>
  <c r="G252"/>
  <c r="G251" s="1"/>
  <c r="G244" s="1"/>
  <c r="F252"/>
  <c r="F251" s="1"/>
  <c r="F244" s="1"/>
  <c r="H238"/>
  <c r="H237" s="1"/>
  <c r="G238"/>
  <c r="G237" s="1"/>
  <c r="F238"/>
  <c r="F237" s="1"/>
  <c r="H223"/>
  <c r="H222" s="1"/>
  <c r="H221" s="1"/>
  <c r="G223"/>
  <c r="G222" s="1"/>
  <c r="G221" s="1"/>
  <c r="F223"/>
  <c r="F222" s="1"/>
  <c r="F221" s="1"/>
  <c r="H219"/>
  <c r="H218" s="1"/>
  <c r="H217" s="1"/>
  <c r="G219"/>
  <c r="G218" s="1"/>
  <c r="G217" s="1"/>
  <c r="F219"/>
  <c r="F218" s="1"/>
  <c r="F217" s="1"/>
  <c r="H194"/>
  <c r="H193" s="1"/>
  <c r="H189" s="1"/>
  <c r="H188" s="1"/>
  <c r="G194"/>
  <c r="G193" s="1"/>
  <c r="G189" s="1"/>
  <c r="G188" s="1"/>
  <c r="F194"/>
  <c r="F193" s="1"/>
  <c r="F189" s="1"/>
  <c r="F188" s="1"/>
  <c r="H166"/>
  <c r="H165" s="1"/>
  <c r="H164" s="1"/>
  <c r="H163" s="1"/>
  <c r="G166"/>
  <c r="G165" s="1"/>
  <c r="G164" s="1"/>
  <c r="G163" s="1"/>
  <c r="F166"/>
  <c r="F165" s="1"/>
  <c r="F164" s="1"/>
  <c r="F163" s="1"/>
  <c r="H159"/>
  <c r="H158" s="1"/>
  <c r="H157" s="1"/>
  <c r="H156" s="1"/>
  <c r="H155" s="1"/>
  <c r="H154" s="1"/>
  <c r="G159"/>
  <c r="G158" s="1"/>
  <c r="G157" s="1"/>
  <c r="G156" s="1"/>
  <c r="G155" s="1"/>
  <c r="G154" s="1"/>
  <c r="F159"/>
  <c r="F158" s="1"/>
  <c r="F157" s="1"/>
  <c r="F156" s="1"/>
  <c r="F155" s="1"/>
  <c r="F154" s="1"/>
  <c r="H152"/>
  <c r="H151" s="1"/>
  <c r="H150" s="1"/>
  <c r="H149" s="1"/>
  <c r="H148" s="1"/>
  <c r="H147" s="1"/>
  <c r="G152"/>
  <c r="G151" s="1"/>
  <c r="G150" s="1"/>
  <c r="G149" s="1"/>
  <c r="G148" s="1"/>
  <c r="G147" s="1"/>
  <c r="F152"/>
  <c r="F151" s="1"/>
  <c r="F150" s="1"/>
  <c r="F149" s="1"/>
  <c r="F148" s="1"/>
  <c r="F147" s="1"/>
  <c r="H144"/>
  <c r="H143" s="1"/>
  <c r="H142" s="1"/>
  <c r="G144"/>
  <c r="G143" s="1"/>
  <c r="G142" s="1"/>
  <c r="F144"/>
  <c r="F143" s="1"/>
  <c r="F142" s="1"/>
  <c r="H137"/>
  <c r="G137"/>
  <c r="F137"/>
  <c r="H135"/>
  <c r="G135"/>
  <c r="F135"/>
  <c r="H132"/>
  <c r="H131" s="1"/>
  <c r="G132"/>
  <c r="G131" s="1"/>
  <c r="F132"/>
  <c r="F131" s="1"/>
  <c r="F124"/>
  <c r="F122"/>
  <c r="H120"/>
  <c r="G120"/>
  <c r="F120"/>
  <c r="H117"/>
  <c r="H116" s="1"/>
  <c r="H110" s="1"/>
  <c r="G117"/>
  <c r="G116" s="1"/>
  <c r="G110" s="1"/>
  <c r="F117"/>
  <c r="F116" s="1"/>
  <c r="F110" s="1"/>
  <c r="H102"/>
  <c r="H101" s="1"/>
  <c r="H100" s="1"/>
  <c r="H99" s="1"/>
  <c r="G102"/>
  <c r="G101" s="1"/>
  <c r="G100" s="1"/>
  <c r="G99" s="1"/>
  <c r="F102"/>
  <c r="F101" s="1"/>
  <c r="F100" s="1"/>
  <c r="F99" s="1"/>
  <c r="H97"/>
  <c r="H96" s="1"/>
  <c r="H95" s="1"/>
  <c r="G97"/>
  <c r="G96" s="1"/>
  <c r="G95" s="1"/>
  <c r="F97"/>
  <c r="F96" s="1"/>
  <c r="F95" s="1"/>
  <c r="H93"/>
  <c r="H92" s="1"/>
  <c r="G93"/>
  <c r="G92" s="1"/>
  <c r="F93"/>
  <c r="F92" s="1"/>
  <c r="H90"/>
  <c r="H89" s="1"/>
  <c r="G90"/>
  <c r="G89" s="1"/>
  <c r="F90"/>
  <c r="F89" s="1"/>
  <c r="H75"/>
  <c r="H74" s="1"/>
  <c r="H73" s="1"/>
  <c r="G75"/>
  <c r="G74" s="1"/>
  <c r="G73" s="1"/>
  <c r="F75"/>
  <c r="F74" s="1"/>
  <c r="F73" s="1"/>
  <c r="H69"/>
  <c r="H68" s="1"/>
  <c r="G69"/>
  <c r="G68" s="1"/>
  <c r="F69"/>
  <c r="F68" s="1"/>
  <c r="H66"/>
  <c r="H65" s="1"/>
  <c r="G66"/>
  <c r="G65" s="1"/>
  <c r="F66"/>
  <c r="F65" s="1"/>
  <c r="H59"/>
  <c r="G59"/>
  <c r="F59"/>
  <c r="H57"/>
  <c r="G57"/>
  <c r="F57"/>
  <c r="H37"/>
  <c r="H36" s="1"/>
  <c r="H35" s="1"/>
  <c r="H34" s="1"/>
  <c r="H33" s="1"/>
  <c r="G37"/>
  <c r="G36" s="1"/>
  <c r="G35" s="1"/>
  <c r="G34" s="1"/>
  <c r="G33" s="1"/>
  <c r="F37"/>
  <c r="F36" s="1"/>
  <c r="F35" s="1"/>
  <c r="F34" s="1"/>
  <c r="F33" s="1"/>
  <c r="H23"/>
  <c r="G23"/>
  <c r="F23"/>
  <c r="H31"/>
  <c r="H30" s="1"/>
  <c r="G31"/>
  <c r="G30" s="1"/>
  <c r="F31"/>
  <c r="F30" s="1"/>
  <c r="H28"/>
  <c r="G28"/>
  <c r="F28"/>
  <c r="H26"/>
  <c r="G26"/>
  <c r="F26"/>
  <c r="H14"/>
  <c r="H13" s="1"/>
  <c r="H12" s="1"/>
  <c r="H11" s="1"/>
  <c r="H10" s="1"/>
  <c r="G14"/>
  <c r="G13" s="1"/>
  <c r="G12" s="1"/>
  <c r="G11" s="1"/>
  <c r="G10" s="1"/>
  <c r="F14"/>
  <c r="F13" s="1"/>
  <c r="F12" s="1"/>
  <c r="F11" s="1"/>
  <c r="F10" s="1"/>
  <c r="F306" i="155" l="1"/>
  <c r="G386"/>
  <c r="H72" i="154"/>
  <c r="H71" s="1"/>
  <c r="F72"/>
  <c r="F71" s="1"/>
  <c r="G72"/>
  <c r="G71" s="1"/>
  <c r="E386" i="155"/>
  <c r="E385" s="1"/>
  <c r="E384" s="1"/>
  <c r="D293" i="147"/>
  <c r="D282" s="1"/>
  <c r="E293"/>
  <c r="E282" s="1"/>
  <c r="F254" i="154"/>
  <c r="F293" i="147"/>
  <c r="F282" s="1"/>
  <c r="G254" i="154"/>
  <c r="G243" s="1"/>
  <c r="H254"/>
  <c r="H243" s="1"/>
  <c r="H652"/>
  <c r="H651" s="1"/>
  <c r="F295" i="155"/>
  <c r="F243" i="154"/>
  <c r="D10" i="147"/>
  <c r="E10"/>
  <c r="F652" i="154"/>
  <c r="F651" s="1"/>
  <c r="G652"/>
  <c r="G651" s="1"/>
  <c r="H620"/>
  <c r="H619" s="1"/>
  <c r="F620"/>
  <c r="F619" s="1"/>
  <c r="G620"/>
  <c r="G619" s="1"/>
  <c r="G202" i="155"/>
  <c r="G480" i="154"/>
  <c r="G479" s="1"/>
  <c r="G478" s="1"/>
  <c r="G477" s="1"/>
  <c r="G476" s="1"/>
  <c r="F480"/>
  <c r="F479" s="1"/>
  <c r="F478" s="1"/>
  <c r="F477" s="1"/>
  <c r="F476" s="1"/>
  <c r="E206" i="147"/>
  <c r="H480" i="154"/>
  <c r="H479" s="1"/>
  <c r="H478" s="1"/>
  <c r="H477" s="1"/>
  <c r="H476" s="1"/>
  <c r="D206" i="147"/>
  <c r="G678" i="155"/>
  <c r="G677" s="1"/>
  <c r="G676" s="1"/>
  <c r="G675" s="1"/>
  <c r="G674" s="1"/>
  <c r="G303" i="154"/>
  <c r="H303"/>
  <c r="H302" s="1"/>
  <c r="H301" s="1"/>
  <c r="F303"/>
  <c r="F302" s="1"/>
  <c r="F301" s="1"/>
  <c r="G718"/>
  <c r="G717" s="1"/>
  <c r="G716" s="1"/>
  <c r="F718"/>
  <c r="F717" s="1"/>
  <c r="F716" s="1"/>
  <c r="H718"/>
  <c r="H717" s="1"/>
  <c r="H716" s="1"/>
  <c r="D86" i="147"/>
  <c r="E86"/>
  <c r="E272"/>
  <c r="E267" s="1"/>
  <c r="D272"/>
  <c r="D267" s="1"/>
  <c r="G285" i="155"/>
  <c r="G280" s="1"/>
  <c r="G233" i="154"/>
  <c r="G228" s="1"/>
  <c r="H233"/>
  <c r="H228" s="1"/>
  <c r="F233"/>
  <c r="F228" s="1"/>
  <c r="E202" i="155"/>
  <c r="F202"/>
  <c r="E159"/>
  <c r="G339"/>
  <c r="E82"/>
  <c r="E81" s="1"/>
  <c r="H772" i="154"/>
  <c r="H771" s="1"/>
  <c r="H770" s="1"/>
  <c r="F772"/>
  <c r="F771" s="1"/>
  <c r="F770" s="1"/>
  <c r="G772"/>
  <c r="G771" s="1"/>
  <c r="G770" s="1"/>
  <c r="E97" i="147"/>
  <c r="E96" s="1"/>
  <c r="D97"/>
  <c r="D96" s="1"/>
  <c r="F97"/>
  <c r="F96" s="1"/>
  <c r="F85" s="1"/>
  <c r="G385" i="155"/>
  <c r="G384" s="1"/>
  <c r="F526"/>
  <c r="F525" s="1"/>
  <c r="E526"/>
  <c r="E525" s="1"/>
  <c r="G526"/>
  <c r="G525" s="1"/>
  <c r="G538"/>
  <c r="G537" s="1"/>
  <c r="G536" s="1"/>
  <c r="G535" s="1"/>
  <c r="F538"/>
  <c r="F537" s="1"/>
  <c r="F536" s="1"/>
  <c r="F535" s="1"/>
  <c r="E538"/>
  <c r="E537" s="1"/>
  <c r="E536" s="1"/>
  <c r="E535" s="1"/>
  <c r="G760" i="154"/>
  <c r="G759" s="1"/>
  <c r="F760"/>
  <c r="F759" s="1"/>
  <c r="H760"/>
  <c r="H759" s="1"/>
  <c r="E115" i="147"/>
  <c r="F505"/>
  <c r="F483"/>
  <c r="F17" i="155"/>
  <c r="F16" s="1"/>
  <c r="F15" s="1"/>
  <c r="D10" i="143" s="1"/>
  <c r="F115" i="147"/>
  <c r="D505"/>
  <c r="E18" i="155"/>
  <c r="E17" s="1"/>
  <c r="E16" s="1"/>
  <c r="E15" s="1"/>
  <c r="C10" i="143" s="1"/>
  <c r="F499" i="154"/>
  <c r="F498" s="1"/>
  <c r="F497" s="1"/>
  <c r="F496" s="1"/>
  <c r="F495" s="1"/>
  <c r="E505" i="147"/>
  <c r="D115"/>
  <c r="H499" i="154"/>
  <c r="H498" s="1"/>
  <c r="H497" s="1"/>
  <c r="H496" s="1"/>
  <c r="H495" s="1"/>
  <c r="G499"/>
  <c r="G498" s="1"/>
  <c r="G497" s="1"/>
  <c r="G496" s="1"/>
  <c r="G495" s="1"/>
  <c r="G255" i="155"/>
  <c r="G254" s="1"/>
  <c r="E25" i="143" s="1"/>
  <c r="E147" i="155"/>
  <c r="G147"/>
  <c r="G25" i="154"/>
  <c r="F216"/>
  <c r="F215" s="1"/>
  <c r="G216"/>
  <c r="G215" s="1"/>
  <c r="H216"/>
  <c r="H215" s="1"/>
  <c r="F25"/>
  <c r="H25"/>
  <c r="G295" i="155"/>
  <c r="E295"/>
  <c r="G141" i="154"/>
  <c r="G140" s="1"/>
  <c r="G139" s="1"/>
  <c r="F141"/>
  <c r="F140" s="1"/>
  <c r="F139" s="1"/>
  <c r="H141"/>
  <c r="H140" s="1"/>
  <c r="H139" s="1"/>
  <c r="E373" i="147"/>
  <c r="E372" s="1"/>
  <c r="G181" i="155"/>
  <c r="G180" s="1"/>
  <c r="G179" s="1"/>
  <c r="E20" i="143" s="1"/>
  <c r="D373" i="147"/>
  <c r="D372" s="1"/>
  <c r="E27" i="143"/>
  <c r="F327" i="147"/>
  <c r="F338" i="155"/>
  <c r="F337" s="1"/>
  <c r="E338"/>
  <c r="E337" s="1"/>
  <c r="G632"/>
  <c r="G631" s="1"/>
  <c r="G622" s="1"/>
  <c r="E41" i="143" s="1"/>
  <c r="H575" i="154"/>
  <c r="H574" s="1"/>
  <c r="H573" s="1"/>
  <c r="G575"/>
  <c r="G574" s="1"/>
  <c r="G573" s="1"/>
  <c r="F632" i="155"/>
  <c r="F631" s="1"/>
  <c r="F622" s="1"/>
  <c r="D41" i="143" s="1"/>
  <c r="F575" i="154"/>
  <c r="F574" s="1"/>
  <c r="F573" s="1"/>
  <c r="G691"/>
  <c r="F691"/>
  <c r="H691"/>
  <c r="H742"/>
  <c r="H741" s="1"/>
  <c r="H740" s="1"/>
  <c r="G742"/>
  <c r="G741" s="1"/>
  <c r="G740" s="1"/>
  <c r="F742"/>
  <c r="F741" s="1"/>
  <c r="F740" s="1"/>
  <c r="G483" i="155"/>
  <c r="F483"/>
  <c r="F482" s="1"/>
  <c r="D34" i="143" s="1"/>
  <c r="E484" i="155"/>
  <c r="E483" s="1"/>
  <c r="D233" i="147"/>
  <c r="D232" s="1"/>
  <c r="D231" s="1"/>
  <c r="F170" i="155"/>
  <c r="F169" s="1"/>
  <c r="F168" s="1"/>
  <c r="F167" s="1"/>
  <c r="F166" s="1"/>
  <c r="F231" i="147"/>
  <c r="E233"/>
  <c r="E232" s="1"/>
  <c r="E231" s="1"/>
  <c r="F418"/>
  <c r="F417" s="1"/>
  <c r="E418"/>
  <c r="E417" s="1"/>
  <c r="E116" i="155"/>
  <c r="F33"/>
  <c r="F32" s="1"/>
  <c r="F31" s="1"/>
  <c r="F30" s="1"/>
  <c r="F29" s="1"/>
  <c r="E33"/>
  <c r="E170"/>
  <c r="E169" s="1"/>
  <c r="E168" s="1"/>
  <c r="E167" s="1"/>
  <c r="C19" i="143" s="1"/>
  <c r="G170" i="155"/>
  <c r="G169" s="1"/>
  <c r="G168" s="1"/>
  <c r="G167" s="1"/>
  <c r="E19" i="143" s="1"/>
  <c r="G33" i="155"/>
  <c r="G32" s="1"/>
  <c r="G31" s="1"/>
  <c r="G30" s="1"/>
  <c r="G29" s="1"/>
  <c r="E11" i="143" s="1"/>
  <c r="G458" i="154"/>
  <c r="G445" s="1"/>
  <c r="F458"/>
  <c r="F445" s="1"/>
  <c r="E505" i="155"/>
  <c r="E504" s="1"/>
  <c r="E503" s="1"/>
  <c r="F148"/>
  <c r="F147" s="1"/>
  <c r="F385"/>
  <c r="F384" s="1"/>
  <c r="G390" i="154"/>
  <c r="G389" s="1"/>
  <c r="F571" i="155"/>
  <c r="E140" i="147" s="1"/>
  <c r="E139" s="1"/>
  <c r="E138" s="1"/>
  <c r="E134" s="1"/>
  <c r="F390" i="154"/>
  <c r="F389" s="1"/>
  <c r="E571" i="155"/>
  <c r="D140" i="147" s="1"/>
  <c r="D139" s="1"/>
  <c r="D138" s="1"/>
  <c r="D134" s="1"/>
  <c r="F755" i="154"/>
  <c r="E78" i="147"/>
  <c r="E77" s="1"/>
  <c r="E76" s="1"/>
  <c r="E69" s="1"/>
  <c r="H458" i="154"/>
  <c r="H445" s="1"/>
  <c r="F78" i="147"/>
  <c r="F77" s="1"/>
  <c r="F76" s="1"/>
  <c r="F69" s="1"/>
  <c r="H124" i="154"/>
  <c r="H119" s="1"/>
  <c r="G165" i="155"/>
  <c r="H390" i="154"/>
  <c r="H389" s="1"/>
  <c r="G571" i="155"/>
  <c r="F140" i="147" s="1"/>
  <c r="F139" s="1"/>
  <c r="F138" s="1"/>
  <c r="F134" s="1"/>
  <c r="G124" i="154"/>
  <c r="G119" s="1"/>
  <c r="F165" i="155"/>
  <c r="E513" i="147"/>
  <c r="E27"/>
  <c r="E26" s="1"/>
  <c r="E435"/>
  <c r="F170"/>
  <c r="F169" s="1"/>
  <c r="F156" s="1"/>
  <c r="G667" i="155"/>
  <c r="G656" s="1"/>
  <c r="G643" s="1"/>
  <c r="G505"/>
  <c r="G504" s="1"/>
  <c r="G503" s="1"/>
  <c r="H755" i="154"/>
  <c r="G521" i="155"/>
  <c r="G755" i="154"/>
  <c r="E198" i="147"/>
  <c r="E495"/>
  <c r="D239"/>
  <c r="D193"/>
  <c r="D180"/>
  <c r="G82" i="155"/>
  <c r="G81" s="1"/>
  <c r="D170" i="147"/>
  <c r="D500"/>
  <c r="E180"/>
  <c r="F27"/>
  <c r="F26" s="1"/>
  <c r="F9" s="1"/>
  <c r="D513"/>
  <c r="F239"/>
  <c r="F500"/>
  <c r="F495"/>
  <c r="D198"/>
  <c r="E170"/>
  <c r="E487"/>
  <c r="E483" s="1"/>
  <c r="D495"/>
  <c r="F82" i="155"/>
  <c r="F81" s="1"/>
  <c r="F198" i="147"/>
  <c r="F192" s="1"/>
  <c r="E239"/>
  <c r="G22" i="155"/>
  <c r="E223" i="147"/>
  <c r="E219" s="1"/>
  <c r="D487"/>
  <c r="D483" s="1"/>
  <c r="D27"/>
  <c r="D26" s="1"/>
  <c r="D518"/>
  <c r="D446"/>
  <c r="E193"/>
  <c r="F674" i="155"/>
  <c r="D45" i="143"/>
  <c r="F609" i="155"/>
  <c r="E254"/>
  <c r="C25" i="143" s="1"/>
  <c r="E674" i="155"/>
  <c r="C45" i="143"/>
  <c r="G609" i="155"/>
  <c r="J9" i="171" s="1"/>
  <c r="J10" s="1"/>
  <c r="E609" i="155"/>
  <c r="H9" i="171" s="1"/>
  <c r="H10" s="1"/>
  <c r="F254" i="155"/>
  <c r="D223" i="147"/>
  <c r="D219" s="1"/>
  <c r="F223"/>
  <c r="F219" s="1"/>
  <c r="G596" i="155"/>
  <c r="G595" s="1"/>
  <c r="G594" s="1"/>
  <c r="G593" s="1"/>
  <c r="E39" i="143" s="1"/>
  <c r="E596" i="155"/>
  <c r="E595" s="1"/>
  <c r="E594" s="1"/>
  <c r="E593" s="1"/>
  <c r="C39" i="143" s="1"/>
  <c r="F596" i="155"/>
  <c r="F595" s="1"/>
  <c r="F594" s="1"/>
  <c r="F593" s="1"/>
  <c r="D39" i="143" s="1"/>
  <c r="F435" i="147"/>
  <c r="E656" i="155"/>
  <c r="E643" s="1"/>
  <c r="F656"/>
  <c r="F643" s="1"/>
  <c r="H88" i="154"/>
  <c r="H87" s="1"/>
  <c r="H81" s="1"/>
  <c r="H350"/>
  <c r="H349" s="1"/>
  <c r="H348" s="1"/>
  <c r="G350"/>
  <c r="G349" s="1"/>
  <c r="G348" s="1"/>
  <c r="F349"/>
  <c r="F348" s="1"/>
  <c r="H20"/>
  <c r="H339"/>
  <c r="H333" s="1"/>
  <c r="F430"/>
  <c r="F20"/>
  <c r="F134"/>
  <c r="F130" s="1"/>
  <c r="F129" s="1"/>
  <c r="F128" s="1"/>
  <c r="F127" s="1"/>
  <c r="G134"/>
  <c r="G130" s="1"/>
  <c r="G129" s="1"/>
  <c r="G128" s="1"/>
  <c r="G127" s="1"/>
  <c r="G366"/>
  <c r="F511"/>
  <c r="F510" s="1"/>
  <c r="F88"/>
  <c r="F119"/>
  <c r="H134"/>
  <c r="H130" s="1"/>
  <c r="H129" s="1"/>
  <c r="H128" s="1"/>
  <c r="H127" s="1"/>
  <c r="H417"/>
  <c r="H511"/>
  <c r="H510" s="1"/>
  <c r="H366"/>
  <c r="F56"/>
  <c r="F55" s="1"/>
  <c r="G56"/>
  <c r="G55" s="1"/>
  <c r="G511"/>
  <c r="G510" s="1"/>
  <c r="F533"/>
  <c r="F532" s="1"/>
  <c r="F531" s="1"/>
  <c r="F782"/>
  <c r="F781" s="1"/>
  <c r="F780" s="1"/>
  <c r="F779" s="1"/>
  <c r="F778" s="1"/>
  <c r="F777" s="1"/>
  <c r="H56"/>
  <c r="H55" s="1"/>
  <c r="G64"/>
  <c r="G781"/>
  <c r="G780" s="1"/>
  <c r="G779" s="1"/>
  <c r="G778" s="1"/>
  <c r="G777" s="1"/>
  <c r="H781"/>
  <c r="H780" s="1"/>
  <c r="H779" s="1"/>
  <c r="H778" s="1"/>
  <c r="H777" s="1"/>
  <c r="G20"/>
  <c r="G88"/>
  <c r="G87" s="1"/>
  <c r="G81" s="1"/>
  <c r="F64"/>
  <c r="H64"/>
  <c r="F366"/>
  <c r="H533"/>
  <c r="H532" s="1"/>
  <c r="H531" s="1"/>
  <c r="F417"/>
  <c r="G533"/>
  <c r="G532" s="1"/>
  <c r="G531" s="1"/>
  <c r="G552"/>
  <c r="G551" s="1"/>
  <c r="G542" s="1"/>
  <c r="G417"/>
  <c r="G430"/>
  <c r="H430"/>
  <c r="F552"/>
  <c r="F551" s="1"/>
  <c r="F542" s="1"/>
  <c r="F592"/>
  <c r="G592"/>
  <c r="H552"/>
  <c r="H551" s="1"/>
  <c r="H542" s="1"/>
  <c r="H592"/>
  <c r="H588" s="1"/>
  <c r="E9" i="147" l="1"/>
  <c r="D9"/>
  <c r="F604" i="155"/>
  <c r="F603" s="1"/>
  <c r="F602" s="1"/>
  <c r="F592" s="1"/>
  <c r="I9" i="171"/>
  <c r="I10" s="1"/>
  <c r="E279" i="155"/>
  <c r="E278" s="1"/>
  <c r="E270" s="1"/>
  <c r="E68" i="147"/>
  <c r="F68"/>
  <c r="F8" s="1"/>
  <c r="G385" i="154"/>
  <c r="G384" s="1"/>
  <c r="G365" s="1"/>
  <c r="G364" s="1"/>
  <c r="H385"/>
  <c r="H384" s="1"/>
  <c r="H365" s="1"/>
  <c r="H364" s="1"/>
  <c r="F385"/>
  <c r="F384" s="1"/>
  <c r="F365" s="1"/>
  <c r="F364" s="1"/>
  <c r="E115" i="155"/>
  <c r="E111" s="1"/>
  <c r="E110" s="1"/>
  <c r="E109" s="1"/>
  <c r="E416" i="147"/>
  <c r="E412" s="1"/>
  <c r="E411" s="1"/>
  <c r="F416"/>
  <c r="F412" s="1"/>
  <c r="F411" s="1"/>
  <c r="G754" i="154"/>
  <c r="G753" s="1"/>
  <c r="H754"/>
  <c r="H753" s="1"/>
  <c r="F754"/>
  <c r="G520" i="155"/>
  <c r="E520"/>
  <c r="E519" s="1"/>
  <c r="E518" s="1"/>
  <c r="C35" i="143" s="1"/>
  <c r="F520" i="155"/>
  <c r="F519" s="1"/>
  <c r="F518" s="1"/>
  <c r="D35" i="143" s="1"/>
  <c r="E85" i="147"/>
  <c r="D85"/>
  <c r="F279" i="155"/>
  <c r="F278" s="1"/>
  <c r="E201"/>
  <c r="C24" i="143" s="1"/>
  <c r="F201" i="155"/>
  <c r="D24" i="143" s="1"/>
  <c r="G201" i="155"/>
  <c r="E24" i="143" s="1"/>
  <c r="H162" i="154"/>
  <c r="H161" s="1"/>
  <c r="F162"/>
  <c r="F161" s="1"/>
  <c r="G162"/>
  <c r="G161" s="1"/>
  <c r="E327" i="147"/>
  <c r="D327"/>
  <c r="E146" i="155"/>
  <c r="E137" s="1"/>
  <c r="H429" i="154"/>
  <c r="H424" s="1"/>
  <c r="H423" s="1"/>
  <c r="H422" s="1"/>
  <c r="G416"/>
  <c r="G415" s="1"/>
  <c r="G414" s="1"/>
  <c r="G413" s="1"/>
  <c r="F416"/>
  <c r="F415" s="1"/>
  <c r="F414" s="1"/>
  <c r="F413" s="1"/>
  <c r="F429"/>
  <c r="F424" s="1"/>
  <c r="F423" s="1"/>
  <c r="F422" s="1"/>
  <c r="G429"/>
  <c r="G424" s="1"/>
  <c r="G423" s="1"/>
  <c r="G422" s="1"/>
  <c r="H416"/>
  <c r="H415" s="1"/>
  <c r="H414" s="1"/>
  <c r="H413" s="1"/>
  <c r="D30" i="143"/>
  <c r="G519" i="155"/>
  <c r="G518" s="1"/>
  <c r="E35" i="143" s="1"/>
  <c r="F753" i="154"/>
  <c r="G588"/>
  <c r="G587" s="1"/>
  <c r="G586" s="1"/>
  <c r="G585" s="1"/>
  <c r="G584" s="1"/>
  <c r="G583" s="1"/>
  <c r="G18" i="155"/>
  <c r="G17" s="1"/>
  <c r="G16" s="1"/>
  <c r="G15" s="1"/>
  <c r="E10" i="143" s="1"/>
  <c r="H587" i="154"/>
  <c r="H586" s="1"/>
  <c r="H585" s="1"/>
  <c r="H584" s="1"/>
  <c r="H583" s="1"/>
  <c r="F588"/>
  <c r="F587" s="1"/>
  <c r="F586" s="1"/>
  <c r="F585" s="1"/>
  <c r="F584" s="1"/>
  <c r="F583" s="1"/>
  <c r="D494" i="147"/>
  <c r="D479" s="1"/>
  <c r="D455" s="1"/>
  <c r="E494"/>
  <c r="F494"/>
  <c r="D192"/>
  <c r="D187" s="1"/>
  <c r="E192"/>
  <c r="E187" s="1"/>
  <c r="G279" i="155"/>
  <c r="G278" s="1"/>
  <c r="G270" s="1"/>
  <c r="F19" i="154"/>
  <c r="F18" s="1"/>
  <c r="F17" s="1"/>
  <c r="F16" s="1"/>
  <c r="F87"/>
  <c r="F81" s="1"/>
  <c r="E32" i="155"/>
  <c r="E31" s="1"/>
  <c r="E30" s="1"/>
  <c r="E29" s="1"/>
  <c r="C11" i="143" s="1"/>
  <c r="C31"/>
  <c r="E31"/>
  <c r="D31"/>
  <c r="G462" i="155"/>
  <c r="G461" s="1"/>
  <c r="G454" s="1"/>
  <c r="E462"/>
  <c r="E461" s="1"/>
  <c r="E454" s="1"/>
  <c r="C30" i="143"/>
  <c r="H530" i="154"/>
  <c r="H529" s="1"/>
  <c r="H528" s="1"/>
  <c r="F530"/>
  <c r="F529" s="1"/>
  <c r="F528" s="1"/>
  <c r="G530"/>
  <c r="G529" s="1"/>
  <c r="G528" s="1"/>
  <c r="F266" i="147"/>
  <c r="F126" i="154"/>
  <c r="G126"/>
  <c r="H126"/>
  <c r="H444"/>
  <c r="H443" s="1"/>
  <c r="H442" s="1"/>
  <c r="F444"/>
  <c r="F443" s="1"/>
  <c r="F442" s="1"/>
  <c r="G444"/>
  <c r="G443" s="1"/>
  <c r="G442" s="1"/>
  <c r="G302"/>
  <c r="G301" s="1"/>
  <c r="G338" i="155"/>
  <c r="G337" s="1"/>
  <c r="G618" i="154"/>
  <c r="G617" s="1"/>
  <c r="H618"/>
  <c r="H617" s="1"/>
  <c r="F618"/>
  <c r="F617" s="1"/>
  <c r="E642" i="155"/>
  <c r="E641" s="1"/>
  <c r="F642"/>
  <c r="F641" s="1"/>
  <c r="G642"/>
  <c r="G641" s="1"/>
  <c r="E43" i="143" s="1"/>
  <c r="E42" s="1"/>
  <c r="E45"/>
  <c r="E632" i="155"/>
  <c r="E631" s="1"/>
  <c r="E622" s="1"/>
  <c r="C41" i="143" s="1"/>
  <c r="F116" i="155"/>
  <c r="D78" i="147"/>
  <c r="D77" s="1"/>
  <c r="D76" s="1"/>
  <c r="D69" s="1"/>
  <c r="D19" i="143"/>
  <c r="G166" i="155"/>
  <c r="G650" i="154"/>
  <c r="G649" s="1"/>
  <c r="G482" i="155"/>
  <c r="E34" i="143" s="1"/>
  <c r="G116" i="155"/>
  <c r="D418" i="147"/>
  <c r="D417" s="1"/>
  <c r="D11" i="143"/>
  <c r="E166" i="155"/>
  <c r="E482"/>
  <c r="C34" i="143" s="1"/>
  <c r="G214" i="154"/>
  <c r="F214"/>
  <c r="H214"/>
  <c r="H54"/>
  <c r="H53" s="1"/>
  <c r="F227"/>
  <c r="F226" s="1"/>
  <c r="F225" s="1"/>
  <c r="D435" i="147"/>
  <c r="D434" s="1"/>
  <c r="H650" i="154"/>
  <c r="H649" s="1"/>
  <c r="F650"/>
  <c r="F649" s="1"/>
  <c r="G570" i="155"/>
  <c r="G569" s="1"/>
  <c r="F133" i="147"/>
  <c r="F570" i="155"/>
  <c r="F569" s="1"/>
  <c r="E133" i="147"/>
  <c r="H769" i="154"/>
  <c r="F164" i="155"/>
  <c r="F159" s="1"/>
  <c r="F146" s="1"/>
  <c r="F137" s="1"/>
  <c r="E524" i="147"/>
  <c r="E523" s="1"/>
  <c r="E518" s="1"/>
  <c r="G164" i="155"/>
  <c r="G159" s="1"/>
  <c r="G146" s="1"/>
  <c r="G137" s="1"/>
  <c r="F524" i="147"/>
  <c r="F523" s="1"/>
  <c r="F518" s="1"/>
  <c r="E570" i="155"/>
  <c r="E569" s="1"/>
  <c r="D133" i="147"/>
  <c r="F434"/>
  <c r="E434"/>
  <c r="E266"/>
  <c r="D266"/>
  <c r="E169"/>
  <c r="E156" s="1"/>
  <c r="D169"/>
  <c r="D156" s="1"/>
  <c r="E604" i="155"/>
  <c r="E603" s="1"/>
  <c r="G604"/>
  <c r="G603" s="1"/>
  <c r="G602" s="1"/>
  <c r="D25" i="143"/>
  <c r="F187" i="147"/>
  <c r="H19" i="154"/>
  <c r="H18" s="1"/>
  <c r="H17" s="1"/>
  <c r="H16" s="1"/>
  <c r="F494"/>
  <c r="F493" s="1"/>
  <c r="H332"/>
  <c r="H284" s="1"/>
  <c r="G109"/>
  <c r="G104" s="1"/>
  <c r="F109"/>
  <c r="F104" s="1"/>
  <c r="F769"/>
  <c r="G332"/>
  <c r="F332"/>
  <c r="F284" s="1"/>
  <c r="H227"/>
  <c r="H226" s="1"/>
  <c r="H225" s="1"/>
  <c r="H494"/>
  <c r="H493" s="1"/>
  <c r="G54"/>
  <c r="G53" s="1"/>
  <c r="G494"/>
  <c r="G493" s="1"/>
  <c r="F54"/>
  <c r="F53" s="1"/>
  <c r="G769"/>
  <c r="H109"/>
  <c r="H104" s="1"/>
  <c r="G227"/>
  <c r="G226" s="1"/>
  <c r="G225" s="1"/>
  <c r="G19"/>
  <c r="G18" s="1"/>
  <c r="G17" s="1"/>
  <c r="G16" s="1"/>
  <c r="C28" i="143" l="1"/>
  <c r="C26" s="1"/>
  <c r="E453" i="155"/>
  <c r="E452" s="1"/>
  <c r="E451" s="1"/>
  <c r="G453"/>
  <c r="G452" s="1"/>
  <c r="G451" s="1"/>
  <c r="D68" i="147"/>
  <c r="D8" s="1"/>
  <c r="F565" i="155"/>
  <c r="F564" s="1"/>
  <c r="G565"/>
  <c r="G564" s="1"/>
  <c r="E565"/>
  <c r="E564" s="1"/>
  <c r="E545" s="1"/>
  <c r="E544" s="1"/>
  <c r="G115"/>
  <c r="G111" s="1"/>
  <c r="G110" s="1"/>
  <c r="G109" s="1"/>
  <c r="F115"/>
  <c r="F111" s="1"/>
  <c r="F110" s="1"/>
  <c r="F109" s="1"/>
  <c r="E401" i="147"/>
  <c r="D416"/>
  <c r="D412" s="1"/>
  <c r="D411" s="1"/>
  <c r="D401" s="1"/>
  <c r="F401"/>
  <c r="G146" i="154"/>
  <c r="H146"/>
  <c r="G752"/>
  <c r="F270" i="155"/>
  <c r="D28" i="143"/>
  <c r="D26" s="1"/>
  <c r="F186" i="155"/>
  <c r="G186"/>
  <c r="E186"/>
  <c r="F146" i="154"/>
  <c r="E80" i="155"/>
  <c r="E8" s="1"/>
  <c r="G616" i="154"/>
  <c r="G599" s="1"/>
  <c r="F752"/>
  <c r="F616" s="1"/>
  <c r="F599" s="1"/>
  <c r="G412"/>
  <c r="F412"/>
  <c r="H412"/>
  <c r="H752"/>
  <c r="H616" s="1"/>
  <c r="H599" s="1"/>
  <c r="G284"/>
  <c r="D114" i="147"/>
  <c r="E114"/>
  <c r="F114"/>
  <c r="E30" i="143"/>
  <c r="C43"/>
  <c r="C42" s="1"/>
  <c r="E640" i="155"/>
  <c r="E28" i="143"/>
  <c r="E26" s="1"/>
  <c r="H363" i="154"/>
  <c r="F363"/>
  <c r="G363"/>
  <c r="F462" i="155"/>
  <c r="F461" s="1"/>
  <c r="F454" s="1"/>
  <c r="D40" i="143"/>
  <c r="D43"/>
  <c r="D42" s="1"/>
  <c r="F640" i="155"/>
  <c r="G640"/>
  <c r="E592"/>
  <c r="E8" i="147"/>
  <c r="H52" i="154"/>
  <c r="H9" s="1"/>
  <c r="E479" i="147"/>
  <c r="E455" s="1"/>
  <c r="F52" i="154"/>
  <c r="F9" s="1"/>
  <c r="F479" i="147"/>
  <c r="F455" s="1"/>
  <c r="C40" i="143"/>
  <c r="E40"/>
  <c r="G592" i="155"/>
  <c r="G52" i="154"/>
  <c r="G9" s="1"/>
  <c r="F453" i="155" l="1"/>
  <c r="F452" s="1"/>
  <c r="F451" s="1"/>
  <c r="C17" i="143"/>
  <c r="C8" s="1"/>
  <c r="G80" i="155"/>
  <c r="G8" s="1"/>
  <c r="F80"/>
  <c r="F8" s="1"/>
  <c r="E32" i="143"/>
  <c r="C32"/>
  <c r="E543" i="155"/>
  <c r="F545"/>
  <c r="F544" s="1"/>
  <c r="E7" i="147"/>
  <c r="G545" i="155"/>
  <c r="G544" s="1"/>
  <c r="F7" i="147"/>
  <c r="D7"/>
  <c r="C37" i="143"/>
  <c r="F8" i="154"/>
  <c r="F7" s="1"/>
  <c r="H8"/>
  <c r="H7" s="1"/>
  <c r="G8"/>
  <c r="G7" s="1"/>
  <c r="D17" i="143" l="1"/>
  <c r="D8" s="1"/>
  <c r="E17"/>
  <c r="E8" s="1"/>
  <c r="E336" i="155"/>
  <c r="E7" s="1"/>
  <c r="G336"/>
  <c r="F336"/>
  <c r="D32" i="143"/>
  <c r="D29" s="1"/>
  <c r="F543" i="155"/>
  <c r="G543"/>
  <c r="E29" i="143"/>
  <c r="C29"/>
  <c r="F7" i="155" l="1"/>
  <c r="G7"/>
  <c r="E37" i="143"/>
  <c r="D37"/>
  <c r="D21"/>
  <c r="E21"/>
  <c r="C21"/>
  <c r="C44" l="1"/>
  <c r="D44"/>
  <c r="E44"/>
  <c r="C36"/>
  <c r="C18" l="1"/>
  <c r="E18"/>
  <c r="D18"/>
  <c r="E36"/>
  <c r="E38"/>
  <c r="D36"/>
  <c r="C38"/>
  <c r="D38"/>
  <c r="C7" l="1"/>
  <c r="D7"/>
  <c r="E7"/>
</calcChain>
</file>

<file path=xl/sharedStrings.xml><?xml version="1.0" encoding="utf-8"?>
<sst xmlns="http://schemas.openxmlformats.org/spreadsheetml/2006/main" count="6066" uniqueCount="789">
  <si>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</si>
  <si>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</si>
  <si>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</si>
  <si>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</si>
  <si>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</si>
  <si>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</si>
  <si>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</si>
  <si>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</si>
  <si>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</si>
  <si>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</si>
  <si>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</si>
  <si>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</si>
  <si>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</si>
  <si>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</si>
  <si>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</si>
  <si>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</si>
  <si>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</si>
  <si>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</si>
  <si>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</si>
  <si>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</si>
  <si>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</si>
  <si>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</si>
  <si>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</si>
  <si>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</si>
  <si>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</si>
  <si>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</si>
  <si>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</si>
  <si>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</si>
  <si>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</si>
  <si>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</si>
  <si>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</si>
  <si>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</si>
  <si>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</si>
  <si>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</si>
  <si>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</si>
  <si>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</si>
  <si>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</si>
  <si>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</si>
  <si>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</si>
  <si>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</si>
  <si>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</si>
  <si>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</si>
  <si>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</si>
  <si>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</si>
  <si>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</si>
  <si>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</si>
  <si>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</si>
  <si>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</si>
  <si>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</si>
  <si>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</si>
  <si>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</si>
  <si>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</si>
  <si>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</si>
  <si>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</si>
  <si>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</si>
  <si>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</si>
  <si>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</si>
  <si>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</si>
  <si>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</si>
  <si>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</si>
  <si>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</si>
  <si>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</si>
  <si>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</si>
  <si>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</si>
  <si>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</si>
  <si>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</si>
  <si>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</si>
  <si>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</si>
  <si>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</si>
  <si>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</si>
  <si>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</si>
  <si>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</si>
  <si>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</si>
  <si>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</si>
  <si>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</si>
  <si>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</si>
  <si>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</si>
  <si>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</si>
  <si>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</si>
  <si>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</si>
  <si>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</si>
  <si>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</si>
  <si>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</si>
  <si>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</si>
  <si>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</si>
  <si>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</si>
  <si>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администрация муниципального образования город Торжок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</si>
  <si>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</si>
  <si>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</si>
  <si>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</si>
  <si>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</si>
  <si>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0405</t>
  </si>
  <si>
    <t>Сельское хозяйство и рыболовство</t>
  </si>
  <si>
    <t>Сумма, тыс. руб.</t>
  </si>
  <si>
    <t>2019 год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</si>
  <si>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</si>
  <si>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</si>
  <si>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</si>
  <si>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</si>
  <si>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</si>
  <si>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</si>
  <si>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</si>
  <si>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</si>
  <si>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</si>
  <si>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</si>
  <si>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</si>
  <si>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</si>
  <si>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2020 год</t>
  </si>
  <si>
    <t>0401</t>
  </si>
  <si>
    <t>Общеэкономические вопросы</t>
  </si>
  <si>
    <t xml:space="preserve">Иные закупки товаров, работ и услуг для обеспечения
государственных (муниципальных) нужд
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</si>
  <si>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</si>
  <si>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</si>
  <si>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</si>
  <si>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</si>
  <si>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</si>
  <si>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</si>
  <si>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</si>
  <si>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</si>
  <si>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</si>
  <si>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</si>
  <si>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</si>
  <si>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</si>
  <si>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</si>
  <si>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</si>
  <si>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</si>
  <si>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</si>
  <si>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</si>
  <si>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</si>
  <si>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</si>
  <si>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</si>
  <si>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</si>
  <si>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</si>
  <si>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</si>
  <si>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</si>
  <si>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</si>
  <si>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</si>
  <si>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</si>
  <si>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</si>
  <si>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</si>
  <si>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</si>
  <si>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13201S0430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</si>
  <si>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</si>
  <si>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</si>
  <si>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</si>
  <si>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</si>
  <si>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</si>
  <si>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</si>
  <si>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</si>
  <si>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</si>
  <si>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</si>
  <si>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</si>
  <si>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</si>
  <si>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</si>
  <si>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</si>
  <si>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</si>
  <si>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</si>
  <si>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</si>
  <si>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</si>
  <si>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</si>
  <si>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</si>
  <si>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</si>
  <si>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</si>
  <si>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</si>
  <si>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</si>
  <si>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</si>
  <si>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</si>
  <si>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</si>
  <si>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</si>
  <si>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</si>
  <si>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</t>
  </si>
  <si>
    <t xml:space="preserve">Поддержка средств массовой информации  города в отношении которых муниципальное образование город Торжок не является учредителем (соучредителем) 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</si>
  <si>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</si>
  <si>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</si>
  <si>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</si>
  <si>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</si>
  <si>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</si>
  <si>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</si>
  <si>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</si>
  <si>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</si>
  <si>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</si>
  <si>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</si>
  <si>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</si>
  <si>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</si>
  <si>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</si>
  <si>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</si>
  <si>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</si>
  <si>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</si>
  <si>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</si>
  <si>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</si>
  <si>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</si>
  <si>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</si>
  <si>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</si>
  <si>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</si>
  <si>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</si>
  <si>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</si>
  <si>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</si>
  <si>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</si>
  <si>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</si>
  <si>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</si>
  <si>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</si>
  <si>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</si>
  <si>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</si>
  <si>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</si>
  <si>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</si>
  <si>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</si>
  <si>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</si>
  <si>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</si>
  <si>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"Проведение капитального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</si>
  <si>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11105S0440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</si>
  <si>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</si>
  <si>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</si>
  <si>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</si>
  <si>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</si>
  <si>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</si>
  <si>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</si>
  <si>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</si>
  <si>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</si>
  <si>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</si>
  <si>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</si>
  <si>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</si>
  <si>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</si>
  <si>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</si>
  <si>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Мероприятие  "Организация проведения на территории города  мероприятий по отлову и содержанию безнадзорных животных"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</si>
  <si>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</si>
  <si>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</si>
  <si>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</si>
  <si>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</si>
  <si>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</si>
  <si>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</si>
  <si>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t>Мероприятие  "Реализация проектов в рамках программы поддержки местных инициатив в Тверской области"</t>
  </si>
  <si>
    <r>
      <t>Мероприятие</t>
    </r>
    <r>
      <rPr>
        <b/>
        <sz val="12"/>
        <rFont val="Times New Roman"/>
        <family val="1"/>
        <charset val="204"/>
      </rPr>
      <t xml:space="preserve">  "</t>
    </r>
    <r>
      <rPr>
        <sz val="12"/>
        <rFont val="Times New Roman"/>
        <family val="1"/>
        <charset val="204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</si>
  <si>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</si>
  <si>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</si>
  <si>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</si>
  <si>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</si>
  <si>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</si>
  <si>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</si>
  <si>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</si>
  <si>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</si>
  <si>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</si>
  <si>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</si>
  <si>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</si>
  <si>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</si>
  <si>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</si>
  <si>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</si>
  <si>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</si>
  <si>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Создание условий для внедрения Всероссийского физкультурно-спортивного комплекса Готов к труду и обороне (ГТО)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</si>
  <si>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</si>
  <si>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</si>
  <si>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</si>
  <si>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</si>
  <si>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</si>
  <si>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</si>
  <si>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</si>
  <si>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</si>
  <si>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</si>
  <si>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</si>
  <si>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</si>
  <si>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</si>
  <si>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</si>
  <si>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</si>
  <si>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</si>
  <si>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</si>
  <si>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</si>
  <si>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Мероприятие "Проведение общегородских мероприятий в целях содействия развитию предпринимательства и туризма»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</si>
  <si>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</si>
  <si>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</si>
  <si>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</si>
  <si>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</si>
  <si>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</si>
  <si>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</si>
  <si>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Управление финансов администрации муниципального образования город Торжок</t>
  </si>
  <si>
    <t>Управление образования администрации города Торжка Тверской области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</si>
  <si>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</si>
  <si>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</si>
  <si>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</si>
  <si>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r>
      <t>Реализация программ по поддержке местных инициатив на условиях софинансирования</t>
    </r>
    <r>
      <rPr>
        <i/>
        <sz val="12"/>
        <rFont val="Times New Roman"/>
        <family val="1"/>
        <charset val="204"/>
      </rPr>
      <t xml:space="preserve"> </t>
    </r>
  </si>
  <si>
    <t xml:space="preserve"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 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</si>
  <si>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</si>
  <si>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</si>
  <si>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  <charset val="204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</si>
  <si>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</si>
  <si>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</si>
  <si>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</si>
  <si>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 xml:space="preserve">Капитальный ремонт и ремонт улично-дорожной сети города Торжка на условиях софинансирования </t>
  </si>
  <si>
    <t>14102S1050</t>
  </si>
  <si>
    <t>Приложение  1</t>
  </si>
  <si>
    <t>Источники  финансирования  дефицита  бюджета</t>
  </si>
  <si>
    <t>Код БК РФ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</si>
  <si>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</si>
  <si>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</si>
  <si>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</si>
  <si>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</si>
  <si>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</si>
  <si>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</si>
  <si>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</si>
  <si>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</si>
  <si>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</si>
  <si>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</si>
  <si>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</si>
  <si>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</si>
  <si>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</si>
  <si>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</si>
  <si>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</si>
  <si>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</si>
  <si>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</si>
  <si>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</si>
  <si>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</si>
  <si>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</si>
  <si>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</si>
  <si>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Получение кредитов за счет средств федерального бюджета на пополнение остатков средств на счетах местных бюджетов</t>
  </si>
  <si>
    <t>Погашение бюджетных кредитов, полученных за счет средств федерального бюджета на пополнение остатков средств на счетах местных бюджетов</t>
  </si>
  <si>
    <t>000 01 03 01 00 04 0002 710</t>
  </si>
  <si>
    <t>000 01 03 01 00 04 0002 810</t>
  </si>
  <si>
    <t>Иные закупки товаров, работ и услуг для обеспечения
государственных (муниципальных) нужд</t>
  </si>
  <si>
    <t>муниципального образования город Торжок на 2019 год и на плановый период 2020 и 2021 годов</t>
  </si>
  <si>
    <t>2021 год</t>
  </si>
  <si>
    <t>Ведомственная структура расходов бюджета муниципального образования  город Торжок  
на 2019 год и на плановый период 2020 и 2021 годов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</si>
  <si>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</si>
  <si>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</si>
  <si>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</si>
  <si>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</si>
  <si>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2019 год и на плановый период 2020 и 2021 годов</t>
    </r>
  </si>
  <si>
    <t>Поощрение лиц молодежного возраста, добившихся высоких результатов в учебе и общественной жизни</t>
  </si>
  <si>
    <t>Подпрограмма "Капитальное строительство объектов социальной инфраструктуры"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</si>
  <si>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</si>
  <si>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</si>
  <si>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</si>
  <si>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</si>
  <si>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</si>
  <si>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</si>
  <si>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</si>
  <si>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</si>
  <si>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</si>
  <si>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</si>
  <si>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</si>
  <si>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</si>
  <si>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</si>
  <si>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</si>
  <si>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</si>
  <si>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</si>
  <si>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</si>
  <si>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</si>
  <si>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</si>
  <si>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125P210150</t>
  </si>
  <si>
    <t>Строительство, реконструкция муниципальных объектов дошкольного образования на условиях софинансирования за счет субсидии из областного бюджета</t>
  </si>
  <si>
    <t>125P252320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</si>
  <si>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</si>
  <si>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Мероприятие  "Проведение капитального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</si>
  <si>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Проведение капитального ремонта муниципальными учреждениями</t>
  </si>
  <si>
    <t>Мероприятие "Устройство физкультурно-спортивных объектов"</t>
  </si>
  <si>
    <t>131П21311F</t>
  </si>
  <si>
    <t>Реализация проекта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</si>
  <si>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</si>
  <si>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</si>
  <si>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</si>
  <si>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</si>
  <si>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</si>
  <si>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</si>
  <si>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Подпрограмма " Обеспечение безопасности муниципальных учреждений"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</si>
  <si>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</si>
  <si>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15201S0440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</si>
  <si>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</si>
  <si>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131F220100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</si>
  <si>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</si>
  <si>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</si>
  <si>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</si>
  <si>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000 01 03 01 00 04 0001 710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</si>
  <si>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</si>
  <si>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</si>
  <si>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</si>
  <si>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Мероприятие  "Повышение уровня благоустройства наиболее посещаемых муниципальных территорий общего пользования города"</t>
  </si>
  <si>
    <t>125P220100</t>
  </si>
  <si>
    <t>Проектирование муниципальных объектов дошкольного образования</t>
  </si>
  <si>
    <t xml:space="preserve"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 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</si>
  <si>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</si>
  <si>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</si>
  <si>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</si>
  <si>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</si>
  <si>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</si>
  <si>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</si>
  <si>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</si>
  <si>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>1110520020</t>
  </si>
  <si>
    <t>Мероприятие "Проведение независимой оценки качества оказания услуг муниципальными учреждениями образования"</t>
  </si>
  <si>
    <t xml:space="preserve">Проведение независимой оценки качества оказания услуг муниципальными учреждениями </t>
  </si>
  <si>
    <t>12305L4951</t>
  </si>
  <si>
    <t>Строительство малобюджетных физкультурно-спортивных объектов шаговой доступности</t>
  </si>
  <si>
    <t>1520110440</t>
  </si>
  <si>
    <t xml:space="preserve">Укрепление материально-технической базы муниципальных общеобразовательных учреждений за счет субсидии из областного бюджета </t>
  </si>
  <si>
    <t>Мероприятие  "Обеспечение безопасности транспортных средств и пешеходов на автомобильных дорогах"</t>
  </si>
  <si>
    <t>Разработка и корректировка проекта организации дорожного движения</t>
  </si>
  <si>
    <t>Благоустройство земельных участков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</si>
  <si>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</si>
  <si>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</si>
  <si>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</si>
  <si>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</si>
  <si>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Восстановление воинских захоронений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</si>
  <si>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</si>
  <si>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</si>
  <si>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</si>
  <si>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</si>
  <si>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 xml:space="preserve">Обеспечение развития и укрепления материально-технической базы муниципальных домов культуры </t>
  </si>
  <si>
    <t>Обеспечение развития и укрепления материально-технической базы муниципальных домов культуры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</si>
  <si>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</si>
  <si>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</si>
  <si>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</si>
  <si>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</si>
  <si>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</si>
  <si>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</si>
  <si>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11105S1040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</si>
  <si>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</si>
  <si>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</si>
  <si>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1110511040  </t>
  </si>
  <si>
    <t>Реализация программ по поддержке местных инициатив  за счет субсидии из областного бюджета</t>
  </si>
  <si>
    <t>1120111200</t>
  </si>
  <si>
    <t>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субсидии из областного бюджета</t>
  </si>
  <si>
    <t>Расходы на повышение оплаты труда работникам муниципальных учреждений в области образования в связи с увеличением минимального размера оплаты труда на условиях софинансирования</t>
  </si>
  <si>
    <t>11201S1200</t>
  </si>
  <si>
    <t>1110111200</t>
  </si>
  <si>
    <t>11101S1200</t>
  </si>
  <si>
    <t>142R311090</t>
  </si>
  <si>
    <t>142R3S1090</t>
  </si>
  <si>
    <t xml:space="preserve"> </t>
  </si>
  <si>
    <t>Участие физических и юридических лиц в благоустройстве  территории города</t>
  </si>
  <si>
    <t>Распределение бюджетных ассигнований  бюджета 		
муниципального образования город Торжок  по разделам и подразделам классификации		
расходов бюджетов на 2019 год и на плановый период 2020 и 2021 годов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</si>
  <si>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</si>
  <si>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</si>
  <si>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,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</si>
  <si>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</si>
  <si>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</si>
  <si>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</si>
  <si>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</si>
  <si>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</si>
  <si>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</si>
  <si>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>2020год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</si>
  <si>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</si>
  <si>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</si>
  <si>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</si>
  <si>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</si>
  <si>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1.</t>
  </si>
  <si>
    <t>х</t>
  </si>
  <si>
    <t>1.1.</t>
  </si>
  <si>
    <t>1.1.1.</t>
  </si>
  <si>
    <t>Строительство детского сада в г.Торжок Тверской области</t>
  </si>
  <si>
    <t xml:space="preserve">Администрация муниципального образования город Торжок </t>
  </si>
  <si>
    <t xml:space="preserve">2. </t>
  </si>
  <si>
    <t>2.1.</t>
  </si>
  <si>
    <t>2.1.1.</t>
  </si>
  <si>
    <t>Приобретение в муниципальную собственность жилых помещений детям-сиротам, детям, оставшимся без попечения родителей, лицам из их числа</t>
  </si>
  <si>
    <t>3.</t>
  </si>
  <si>
    <t>3.1.</t>
  </si>
  <si>
    <t>3.1.1.</t>
  </si>
  <si>
    <t>Физкультурно-оздоровительный комплекс открытого типа по адресу город Торжок ул. Гражданская восточнее дома 12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</si>
  <si>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2019 год и на плановый период 2020 и 2021 годов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</si>
  <si>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</si>
  <si>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</si>
  <si>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</si>
  <si>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</si>
  <si>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</si>
  <si>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</si>
  <si>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</si>
  <si>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</si>
  <si>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</si>
  <si>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2019
год</t>
  </si>
  <si>
    <t>на 2020
год</t>
  </si>
  <si>
    <t>на 2021
год</t>
  </si>
  <si>
    <t>Решение</t>
  </si>
  <si>
    <t>26.06.2013</t>
  </si>
  <si>
    <t>186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</si>
  <si>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</si>
  <si>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</si>
  <si>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24.04.2014</t>
  </si>
  <si>
    <t>248</t>
  </si>
  <si>
    <t>О Положении о звании "Почетный гражданин города Торжка"</t>
  </si>
  <si>
    <t>Итого:</t>
  </si>
  <si>
    <t>Приобретение муниципальными учреждениями оборудования и других основных средств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</si>
  <si>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</si>
  <si>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Повышение безопасности мест массового пребывания людей</t>
  </si>
  <si>
    <t>Приобретение и обеспечение функционирования систем и средств безопасности</t>
  </si>
  <si>
    <t>1520120180</t>
  </si>
  <si>
    <t>Установка (расширение) единых функциональных систем в муниципальных учреждениях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</si>
  <si>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</si>
  <si>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2019 год и на плановый период 2020 и 2021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</si>
  <si>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</si>
  <si>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</si>
  <si>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</si>
  <si>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</si>
  <si>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</si>
  <si>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</si>
  <si>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</si>
  <si>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</si>
  <si>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</si>
  <si>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</si>
  <si>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</si>
  <si>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</si>
  <si>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</si>
  <si>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</si>
  <si>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</si>
  <si>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</si>
  <si>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</si>
  <si>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</si>
  <si>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</si>
  <si>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</si>
  <si>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</si>
  <si>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</si>
  <si>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</si>
  <si>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</si>
  <si>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</si>
  <si>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</si>
  <si>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</si>
  <si>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</si>
  <si>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</si>
  <si>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</si>
  <si>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</si>
  <si>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</si>
  <si>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</si>
  <si>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</si>
  <si>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</si>
  <si>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</si>
  <si>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</si>
  <si>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</si>
  <si>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</si>
  <si>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</si>
  <si>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</si>
  <si>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</si>
  <si>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</si>
  <si>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</si>
  <si>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</si>
  <si>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</si>
  <si>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</si>
  <si>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</si>
  <si>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</si>
  <si>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</si>
  <si>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</si>
  <si>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</si>
  <si>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</si>
  <si>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</si>
  <si>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</si>
  <si>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</si>
  <si>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</si>
  <si>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</si>
  <si>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</si>
  <si>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</si>
  <si>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</si>
  <si>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</si>
  <si>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</si>
  <si>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</si>
  <si>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</si>
  <si>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</si>
  <si>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</si>
  <si>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</si>
  <si>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</si>
  <si>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</si>
  <si>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</si>
  <si>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</si>
  <si>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</si>
  <si>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</si>
  <si>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</si>
  <si>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</si>
  <si>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</si>
  <si>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</si>
  <si>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</si>
  <si>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</si>
  <si>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</si>
  <si>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</si>
  <si>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</si>
  <si>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</si>
  <si>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</si>
  <si>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</si>
  <si>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</si>
  <si>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</si>
  <si>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</si>
  <si>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</si>
  <si>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</si>
  <si>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</si>
  <si>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</si>
  <si>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</si>
  <si>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</si>
  <si>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</si>
  <si>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</si>
  <si>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</si>
  <si>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</si>
  <si>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</si>
  <si>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</si>
  <si>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</si>
  <si>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</si>
  <si>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</si>
  <si>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</si>
  <si>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</si>
  <si>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</si>
  <si>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</si>
  <si>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</si>
  <si>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</si>
  <si>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</si>
  <si>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</si>
  <si>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</si>
  <si>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</si>
  <si>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</si>
  <si>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</si>
  <si>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</si>
  <si>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</si>
  <si>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</si>
  <si>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</si>
  <si>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</si>
  <si>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</si>
  <si>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</si>
  <si>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</si>
  <si>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</si>
  <si>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</si>
  <si>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</si>
  <si>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</si>
  <si>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</si>
  <si>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</si>
  <si>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</si>
  <si>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</si>
  <si>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</si>
  <si>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</si>
  <si>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</si>
  <si>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</si>
  <si>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</si>
  <si>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</si>
  <si>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</si>
  <si>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</si>
  <si>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</si>
  <si>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</si>
  <si>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</si>
  <si>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</si>
  <si>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</si>
  <si>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</si>
  <si>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</si>
  <si>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</si>
  <si>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</si>
  <si>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</si>
  <si>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000 1 16 25070 00 0000 140</t>
  </si>
  <si>
    <t>Денежные взыскания (штрафы) за нарушение лесного законодательства</t>
  </si>
  <si>
    <t>000 1 16 25073 04 0000 140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</si>
  <si>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</si>
  <si>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</si>
  <si>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</si>
  <si>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</si>
  <si>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</si>
  <si>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</si>
  <si>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</si>
  <si>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</si>
  <si>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</si>
  <si>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000 1 16 30030 01 0000 140
</t>
  </si>
  <si>
    <t>Прочие денежные взыскания (штрафы) за правонарушения в области дорожного движения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</si>
  <si>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</si>
  <si>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</si>
  <si>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</si>
  <si>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</si>
  <si>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</si>
  <si>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</si>
  <si>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</si>
  <si>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</si>
  <si>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</si>
  <si>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</si>
  <si>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</si>
  <si>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</si>
  <si>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</si>
  <si>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</si>
  <si>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</si>
  <si>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</si>
  <si>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</si>
  <si>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</si>
  <si>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</si>
  <si>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</si>
  <si>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</si>
  <si>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</si>
  <si>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</si>
  <si>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</si>
  <si>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</si>
  <si>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</si>
  <si>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</si>
  <si>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</si>
  <si>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</si>
  <si>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</si>
  <si>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</si>
  <si>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</si>
  <si>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</si>
  <si>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</si>
  <si>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000 2 02 20216 04 0000 150</t>
  </si>
  <si>
    <t>Субсидии бюджетам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</si>
  <si>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</si>
  <si>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
000 2 02 25159 00 0000 150 </t>
  </si>
  <si>
    <t xml:space="preserve"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</si>
  <si>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
000 2 02 25159 04 0000 150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</si>
  <si>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</si>
  <si>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000 2 02 25232 00 0000 150 </t>
  </si>
  <si>
    <t xml:space="preserve"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</si>
  <si>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000 2 02 25232 04 0000 150 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</si>
  <si>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</si>
  <si>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000 2 02 25467 00 0000 150 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</si>
  <si>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</si>
  <si>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000 2 02 25467 04 0000 150 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</si>
  <si>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</si>
  <si>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000 2 02 25497 00 0000 150 </t>
  </si>
  <si>
    <t xml:space="preserve">Субсидии бюджетам на реализацию мероприятий по обеспечению жильем молодых семей
</t>
  </si>
  <si>
    <t xml:space="preserve">000 2 02 25497 04 0000 150 </t>
  </si>
  <si>
    <t xml:space="preserve">Субсидии бюджетам городских округов на реализацию мероприятий по обеспечению жильем молодых семей
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</si>
  <si>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</si>
  <si>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</si>
  <si>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</si>
  <si>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</si>
  <si>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</si>
  <si>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</si>
  <si>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</si>
  <si>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</si>
  <si>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на организацию  участия детей и подростков в социально значимых региональных проектах</t>
  </si>
  <si>
    <t>Субсидии на организацию отдыха детей в каникулярное время</t>
  </si>
  <si>
    <t>Субсидии бюджетам на укрепление материально-технической базы муниципальных общеобразовательных организаций</t>
  </si>
  <si>
    <t>Субсидии на укрепление материально-технической базы муниципальных дошкольных образовательных организаций</t>
  </si>
  <si>
    <t>Субсидии на проведение работ по восстановлению воинских захоронений</t>
  </si>
  <si>
    <t>Субсидии на  повышение заработной платы работникам муниципальных учреждений культуры Тверской области</t>
  </si>
  <si>
    <t>Субсидии на поддержку редакций районных и городских газет</t>
  </si>
  <si>
    <t>000  2 02 29999 04 0000 150</t>
  </si>
  <si>
    <t>Субсидии на реализацию программ по поддержке местных инициатив в Тверской области на территории городских округов Тверской области</t>
  </si>
  <si>
    <t>Субсидии на  повышение заработной платы педагогическим работникам муниципальных организаций дополнительного образования</t>
  </si>
  <si>
    <t>Субсидии бюджетам на повышение оплаты труда работникам муниципальных учреждений в области образования в связи с увеличением минимального размера оплаты труда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</si>
  <si>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</si>
  <si>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</si>
  <si>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</si>
  <si>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</si>
  <si>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</si>
  <si>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</si>
  <si>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</si>
  <si>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</si>
  <si>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</si>
  <si>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</si>
  <si>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</si>
  <si>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</si>
  <si>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</si>
  <si>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</si>
  <si>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</si>
  <si>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 xml:space="preserve">Субвенции  бюджетам на  государственную регистрацию актов гражданского состояния </t>
  </si>
  <si>
    <t>000 2 02 35930 04 0000 150</t>
  </si>
  <si>
    <t xml:space="preserve">Субвенции  бюджетам городских округов на  государственную регистрацию актов гражданского состояния </t>
  </si>
  <si>
    <t>000 2 02 39999 00 0000 150</t>
  </si>
  <si>
    <t>Прочие субвенции</t>
  </si>
  <si>
    <t>000 2 02 39999 04 0000 150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</si>
  <si>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</si>
  <si>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</si>
  <si>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</si>
  <si>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</si>
  <si>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</si>
  <si>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Субвенции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</si>
  <si>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</si>
  <si>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</si>
  <si>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</si>
  <si>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</si>
  <si>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</si>
  <si>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</si>
  <si>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000 2 04 00000 00 0000 000</t>
  </si>
  <si>
    <t>БЕЗВОЗМЕЗДНЫЕ ПОСТУПЛЕНИЯ ОТ НЕГОСУДАРСТВЕННЫХ ОРГАНИЗАЦИЙ</t>
  </si>
  <si>
    <t>000 2 04 04000 04 0000 150</t>
  </si>
  <si>
    <t>Безвозмездные поступления от негосударственных организаций в бюджеты городских округов</t>
  </si>
  <si>
    <t>000 2 04 04099 04 0000 150</t>
  </si>
  <si>
    <t>Прочие безвозмездные поступления от негосударственных организаций в бюджеты городских округов при реализации программ по поддержке местных инициатив</t>
  </si>
  <si>
    <t>000 2 07 00000 00 0000 000</t>
  </si>
  <si>
    <t>ПРОЧИЕ БЕЗВОЗМЕЗДНЫЕ ПОСТУПЛЕНИЯ</t>
  </si>
  <si>
    <t>000 2 07 04000 04 0000 150</t>
  </si>
  <si>
    <t>Прочие безвозмездные поступления в бюджеты городских округов</t>
  </si>
  <si>
    <t>000 2 07 04050 04 0000 150</t>
  </si>
  <si>
    <t>Прочие безвозмездные поступления в бюджеты городских округов при реализации программ по поддержке местных инициатив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</si>
  <si>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</si>
  <si>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</si>
  <si>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000 2 19 00000 01 0000 150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</si>
  <si>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</si>
  <si>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</si>
  <si>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</si>
  <si>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</si>
  <si>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Приложение 3</t>
  </si>
  <si>
    <t>13202L299F</t>
  </si>
  <si>
    <t>000 2 02 25299 00 0000 150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</si>
  <si>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</si>
  <si>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000 2 02 25299 04 0000 150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</si>
  <si>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</si>
  <si>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2019-2024 годы", в том числе за счет средств резервного фонда Правительства Российской Федерации</t>
  </si>
  <si>
    <t>к решению Торжокской городской Думы</t>
  </si>
  <si>
    <t>от 24.12.2019  № 235</t>
  </si>
  <si>
    <t>от 24.12.2019 № 235</t>
  </si>
  <si>
    <t>Приложение 4
к решению Торжокской городской Думы
от 24.12.2019  № 235</t>
  </si>
  <si>
    <t>Приложение 5
к решению Торжокской городской Думы
от 24.12.2019 № 235</t>
  </si>
  <si>
    <t>Приложение  6
к решению Торжокской городской Думы
от 24.12.2019  №  235</t>
  </si>
  <si>
    <t>Приложение 7
к решению Торжокской городской Думы
от  24.12.2019  № 235</t>
  </si>
  <si>
    <t>Приложение 8
к решению Торжокской городской Думы
от 24.12.2019  № 235</t>
  </si>
  <si>
    <t>Приложение 9
к решению Торжокской городской Думы
от 24.12.2019  № 235</t>
  </si>
  <si>
    <t>Субсидии на капитальный ремонт и ремонт улично-дорожной сети муниципальных образований Тверской области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</si>
</sst>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8">
    <xf numFmtId="0" fontId="0" fillId="0" borderId="0">
      <alignment wrapText="1"/>
    </xf>
    <xf numFmtId="0" fontId="23" fillId="0" borderId="0"/>
    <xf numFmtId="0" fontId="23" fillId="0" borderId="0"/>
    <xf numFmtId="0" fontId="25" fillId="0" borderId="0"/>
    <xf numFmtId="165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0" fillId="0" borderId="0"/>
    <xf numFmtId="164" fontId="26" fillId="0" borderId="0">
      <alignment vertical="top" wrapText="1"/>
    </xf>
    <xf numFmtId="164" fontId="28" fillId="0" borderId="0">
      <alignment vertical="top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22" fillId="0" borderId="0"/>
    <xf numFmtId="164" fontId="26" fillId="0" borderId="0">
      <alignment vertical="top" wrapText="1"/>
    </xf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2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4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8" fontId="26" fillId="0" borderId="0">
      <alignment vertical="top" wrapText="1"/>
    </xf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48">
    <xf numFmtId="0" fontId="0" fillId="0" borderId="0" xfId="0">
      <alignment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7" fillId="0" borderId="0" xfId="12" applyNumberFormat="1" applyFont="1" applyFill="1" applyAlignment="1">
      <alignment vertical="top" wrapText="1"/>
    </xf>
    <xf numFmtId="0" fontId="31" fillId="0" borderId="3" xfId="12" applyNumberFormat="1" applyFont="1" applyFill="1" applyBorder="1" applyAlignment="1">
      <alignment horizontal="center" vertical="center" wrapText="1"/>
    </xf>
    <xf numFmtId="0" fontId="31" fillId="0" borderId="3" xfId="12" applyNumberFormat="1" applyFont="1" applyFill="1" applyBorder="1" applyAlignment="1">
      <alignment horizontal="left" vertical="center" wrapText="1"/>
    </xf>
    <xf numFmtId="167" fontId="31" fillId="0" borderId="3" xfId="12" applyNumberFormat="1" applyFont="1" applyFill="1" applyBorder="1" applyAlignment="1">
      <alignment horizontal="center" vertical="center" wrapText="1"/>
    </xf>
    <xf numFmtId="167" fontId="27" fillId="0" borderId="3" xfId="1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4" fontId="27" fillId="0" borderId="0" xfId="12" applyNumberFormat="1" applyFont="1" applyFill="1" applyAlignment="1">
      <alignment vertical="center" wrapText="1"/>
    </xf>
    <xf numFmtId="49" fontId="27" fillId="0" borderId="3" xfId="12" applyNumberFormat="1" applyFont="1" applyFill="1" applyBorder="1" applyAlignment="1">
      <alignment horizontal="center" vertical="center" wrapText="1"/>
    </xf>
    <xf numFmtId="0" fontId="31" fillId="0" borderId="1" xfId="12" applyNumberFormat="1" applyFont="1" applyFill="1" applyBorder="1" applyAlignment="1">
      <alignment horizontal="center" vertical="center" wrapText="1"/>
    </xf>
    <xf numFmtId="167" fontId="27" fillId="0" borderId="1" xfId="12" applyNumberFormat="1" applyFont="1" applyFill="1" applyBorder="1" applyAlignment="1">
      <alignment horizontal="center" vertical="center" wrapText="1"/>
    </xf>
    <xf numFmtId="49" fontId="24" fillId="0" borderId="1" xfId="12" applyNumberFormat="1" applyFont="1" applyFill="1" applyBorder="1" applyAlignment="1">
      <alignment horizontal="center" vertical="center" wrapText="1"/>
    </xf>
    <xf numFmtId="0" fontId="32" fillId="0" borderId="1" xfId="12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164" fontId="27" fillId="0" borderId="0" xfId="12" applyNumberFormat="1" applyFont="1" applyFill="1" applyAlignment="1">
      <alignment horizontal="center" vertical="center" wrapText="1"/>
    </xf>
    <xf numFmtId="167" fontId="24" fillId="0" borderId="1" xfId="12" applyNumberFormat="1" applyFont="1" applyFill="1" applyBorder="1" applyAlignment="1">
      <alignment horizontal="center" vertical="center" wrapText="1"/>
    </xf>
    <xf numFmtId="49" fontId="27" fillId="0" borderId="1" xfId="12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27" fillId="0" borderId="1" xfId="12" applyNumberFormat="1" applyFont="1" applyFill="1" applyBorder="1" applyAlignment="1">
      <alignment vertical="center" wrapText="1"/>
    </xf>
    <xf numFmtId="167" fontId="30" fillId="0" borderId="1" xfId="12" applyNumberFormat="1" applyFont="1" applyFill="1" applyBorder="1" applyAlignment="1">
      <alignment horizontal="center" vertical="center" wrapText="1"/>
    </xf>
    <xf numFmtId="164" fontId="24" fillId="0" borderId="0" xfId="12" applyNumberFormat="1" applyFont="1" applyFill="1" applyAlignment="1">
      <alignment vertical="top" wrapText="1"/>
    </xf>
    <xf numFmtId="0" fontId="30" fillId="0" borderId="1" xfId="12" applyNumberFormat="1" applyFont="1" applyFill="1" applyBorder="1" applyAlignment="1">
      <alignment horizontal="center" vertical="center" wrapText="1"/>
    </xf>
    <xf numFmtId="2" fontId="27" fillId="0" borderId="0" xfId="12" applyNumberFormat="1" applyFont="1" applyFill="1" applyAlignment="1">
      <alignment vertical="top" wrapText="1"/>
    </xf>
    <xf numFmtId="164" fontId="27" fillId="0" borderId="0" xfId="13" applyNumberFormat="1" applyFont="1" applyFill="1" applyAlignment="1">
      <alignment vertical="center" wrapText="1"/>
    </xf>
    <xf numFmtId="0" fontId="31" fillId="0" borderId="7" xfId="13" applyNumberFormat="1" applyFont="1" applyFill="1" applyBorder="1" applyAlignment="1">
      <alignment horizontal="center" vertical="center" wrapText="1"/>
    </xf>
    <xf numFmtId="0" fontId="31" fillId="0" borderId="7" xfId="13" applyNumberFormat="1" applyFont="1" applyFill="1" applyBorder="1" applyAlignment="1">
      <alignment horizontal="left" vertical="center" wrapText="1"/>
    </xf>
    <xf numFmtId="0" fontId="30" fillId="0" borderId="1" xfId="13" applyNumberFormat="1" applyFont="1" applyFill="1" applyBorder="1" applyAlignment="1">
      <alignment horizontal="center" vertical="center" wrapText="1"/>
    </xf>
    <xf numFmtId="164" fontId="31" fillId="0" borderId="0" xfId="13" applyNumberFormat="1" applyFont="1" applyFill="1" applyAlignment="1">
      <alignment vertical="center" wrapText="1"/>
    </xf>
    <xf numFmtId="166" fontId="31" fillId="0" borderId="7" xfId="13" applyNumberFormat="1" applyFont="1" applyFill="1" applyBorder="1" applyAlignment="1">
      <alignment horizontal="center" vertical="center" wrapText="1"/>
    </xf>
    <xf numFmtId="166" fontId="31" fillId="0" borderId="1" xfId="13" applyNumberFormat="1" applyFont="1" applyFill="1" applyBorder="1" applyAlignment="1">
      <alignment horizontal="center" vertical="center" wrapText="1"/>
    </xf>
    <xf numFmtId="166" fontId="27" fillId="0" borderId="1" xfId="13" applyNumberFormat="1" applyFont="1" applyFill="1" applyBorder="1" applyAlignment="1">
      <alignment horizontal="center" vertical="center" wrapText="1"/>
    </xf>
    <xf numFmtId="166" fontId="27" fillId="0" borderId="0" xfId="13" applyNumberFormat="1" applyFont="1" applyFill="1" applyAlignment="1">
      <alignment vertical="center" wrapText="1"/>
    </xf>
    <xf numFmtId="0" fontId="24" fillId="0" borderId="0" xfId="0" applyFont="1">
      <alignment wrapText="1"/>
    </xf>
    <xf numFmtId="166" fontId="24" fillId="0" borderId="1" xfId="13" applyNumberFormat="1" applyFont="1" applyFill="1" applyBorder="1" applyAlignment="1">
      <alignment horizontal="center" vertical="center" wrapText="1"/>
    </xf>
    <xf numFmtId="0" fontId="30" fillId="0" borderId="3" xfId="12" applyNumberFormat="1" applyFont="1" applyFill="1" applyBorder="1" applyAlignment="1">
      <alignment horizontal="left" vertical="center" wrapText="1"/>
    </xf>
    <xf numFmtId="49" fontId="27" fillId="0" borderId="0" xfId="12" applyNumberFormat="1" applyFont="1" applyFill="1" applyAlignment="1">
      <alignment vertical="top" wrapText="1"/>
    </xf>
    <xf numFmtId="0" fontId="24" fillId="0" borderId="1" xfId="0" applyFont="1" applyFill="1" applyBorder="1" applyAlignment="1">
      <alignment horizontal="left" vertical="center" wrapText="1"/>
    </xf>
    <xf numFmtId="167" fontId="31" fillId="0" borderId="9" xfId="12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wrapText="1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166" fontId="30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66" fontId="24" fillId="0" borderId="1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30" fillId="0" borderId="1" xfId="12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49" fontId="24" fillId="0" borderId="1" xfId="0" applyNumberFormat="1" applyFont="1" applyFill="1" applyBorder="1" applyAlignment="1">
      <alignment horizontal="left" vertical="center" wrapText="1"/>
    </xf>
    <xf numFmtId="164" fontId="24" fillId="0" borderId="0" xfId="12" applyNumberFormat="1" applyFont="1" applyFill="1" applyAlignment="1">
      <alignment horizontal="left" vertical="center" wrapText="1"/>
    </xf>
    <xf numFmtId="0" fontId="27" fillId="0" borderId="1" xfId="12" applyNumberFormat="1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164" fontId="27" fillId="0" borderId="0" xfId="12" applyNumberFormat="1" applyFont="1" applyFill="1" applyAlignment="1">
      <alignment horizontal="left" vertical="center" wrapText="1"/>
    </xf>
    <xf numFmtId="0" fontId="27" fillId="0" borderId="3" xfId="13" applyNumberFormat="1" applyFont="1" applyFill="1" applyBorder="1" applyAlignment="1">
      <alignment horizontal="left" vertical="center" wrapText="1"/>
    </xf>
    <xf numFmtId="0" fontId="31" fillId="0" borderId="1" xfId="12" applyNumberFormat="1" applyFont="1" applyFill="1" applyBorder="1" applyAlignment="1">
      <alignment horizontal="left" vertical="center" wrapText="1"/>
    </xf>
    <xf numFmtId="164" fontId="27" fillId="0" borderId="0" xfId="13" applyNumberFormat="1" applyFont="1" applyFill="1" applyAlignment="1">
      <alignment horizontal="left" vertical="center" wrapText="1"/>
    </xf>
    <xf numFmtId="0" fontId="24" fillId="0" borderId="1" xfId="12" applyNumberFormat="1" applyFont="1" applyFill="1" applyBorder="1" applyAlignment="1">
      <alignment vertical="center" wrapText="1"/>
    </xf>
    <xf numFmtId="0" fontId="27" fillId="0" borderId="7" xfId="12" applyNumberFormat="1" applyFont="1" applyFill="1" applyBorder="1" applyAlignment="1">
      <alignment horizontal="left" vertical="center" wrapText="1"/>
    </xf>
    <xf numFmtId="167" fontId="27" fillId="0" borderId="7" xfId="12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center" wrapText="1"/>
    </xf>
    <xf numFmtId="167" fontId="31" fillId="0" borderId="1" xfId="12" applyNumberFormat="1" applyFont="1" applyFill="1" applyBorder="1" applyAlignment="1">
      <alignment horizontal="center" vertical="center" wrapText="1"/>
    </xf>
    <xf numFmtId="167" fontId="27" fillId="0" borderId="9" xfId="12" applyNumberFormat="1" applyFont="1" applyFill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Fill="1">
      <alignment wrapText="1"/>
    </xf>
    <xf numFmtId="0" fontId="27" fillId="0" borderId="11" xfId="12" applyNumberFormat="1" applyFont="1" applyFill="1" applyBorder="1" applyAlignment="1">
      <alignment horizontal="center" vertical="center" wrapText="1"/>
    </xf>
    <xf numFmtId="0" fontId="24" fillId="0" borderId="4" xfId="12" applyNumberFormat="1" applyFont="1" applyFill="1" applyBorder="1" applyAlignment="1">
      <alignment horizontal="center" vertical="center" wrapText="1"/>
    </xf>
    <xf numFmtId="0" fontId="24" fillId="0" borderId="16" xfId="12" applyNumberFormat="1" applyFont="1" applyFill="1" applyBorder="1" applyAlignment="1">
      <alignment horizontal="center" vertical="center" wrapText="1"/>
    </xf>
    <xf numFmtId="0" fontId="24" fillId="0" borderId="13" xfId="12" applyNumberFormat="1" applyFont="1" applyFill="1" applyBorder="1" applyAlignment="1">
      <alignment horizontal="center" vertical="center" wrapText="1"/>
    </xf>
    <xf numFmtId="49" fontId="27" fillId="0" borderId="11" xfId="12" applyNumberFormat="1" applyFont="1" applyFill="1" applyBorder="1" applyAlignment="1">
      <alignment horizontal="center" vertical="center" wrapText="1"/>
    </xf>
    <xf numFmtId="0" fontId="27" fillId="0" borderId="9" xfId="12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7" xfId="12" applyNumberFormat="1" applyFont="1" applyFill="1" applyBorder="1" applyAlignment="1">
      <alignment horizontal="center" vertical="center" wrapText="1"/>
    </xf>
    <xf numFmtId="0" fontId="27" fillId="0" borderId="0" xfId="12" applyNumberFormat="1" applyFont="1" applyFill="1" applyAlignment="1">
      <alignment horizontal="right" vertical="top" wrapText="1"/>
    </xf>
    <xf numFmtId="0" fontId="27" fillId="0" borderId="1" xfId="12" applyNumberFormat="1" applyFont="1" applyFill="1" applyBorder="1" applyAlignment="1">
      <alignment horizontal="center" vertical="center" wrapText="1"/>
    </xf>
    <xf numFmtId="0" fontId="24" fillId="0" borderId="1" xfId="12" applyNumberFormat="1" applyFont="1" applyFill="1" applyBorder="1" applyAlignment="1">
      <alignment horizontal="left" vertical="center" wrapText="1"/>
    </xf>
    <xf numFmtId="0" fontId="24" fillId="0" borderId="1" xfId="12" applyNumberFormat="1" applyFont="1" applyFill="1" applyBorder="1" applyAlignment="1">
      <alignment horizontal="center" vertical="center" wrapText="1"/>
    </xf>
    <xf numFmtId="0" fontId="27" fillId="0" borderId="3" xfId="12" applyNumberFormat="1" applyFont="1" applyFill="1" applyBorder="1" applyAlignment="1">
      <alignment horizontal="center" vertical="center" wrapText="1"/>
    </xf>
    <xf numFmtId="0" fontId="27" fillId="0" borderId="3" xfId="12" applyNumberFormat="1" applyFont="1" applyFill="1" applyBorder="1" applyAlignment="1">
      <alignment horizontal="left" vertical="center" wrapText="1"/>
    </xf>
    <xf numFmtId="0" fontId="27" fillId="0" borderId="3" xfId="13" applyNumberFormat="1" applyFont="1" applyFill="1" applyBorder="1" applyAlignment="1">
      <alignment horizontal="center" vertical="center" wrapText="1"/>
    </xf>
    <xf numFmtId="166" fontId="27" fillId="0" borderId="3" xfId="13" applyNumberFormat="1" applyFont="1" applyFill="1" applyBorder="1" applyAlignment="1">
      <alignment horizontal="center" vertical="center" wrapText="1"/>
    </xf>
    <xf numFmtId="0" fontId="27" fillId="0" borderId="1" xfId="12" applyNumberFormat="1" applyFont="1" applyFill="1" applyBorder="1" applyAlignment="1">
      <alignment horizontal="center" vertical="center" wrapText="1"/>
    </xf>
    <xf numFmtId="0" fontId="24" fillId="0" borderId="1" xfId="12" applyNumberFormat="1" applyFont="1" applyFill="1" applyBorder="1" applyAlignment="1">
      <alignment horizontal="left" vertical="center" wrapText="1"/>
    </xf>
    <xf numFmtId="0" fontId="27" fillId="0" borderId="0" xfId="12" applyNumberFormat="1" applyFont="1" applyFill="1" applyAlignment="1">
      <alignment horizontal="right" vertical="top" wrapText="1"/>
    </xf>
    <xf numFmtId="0" fontId="27" fillId="0" borderId="1" xfId="12" applyNumberFormat="1" applyFont="1" applyFill="1" applyBorder="1" applyAlignment="1">
      <alignment horizontal="center" vertical="center" wrapText="1"/>
    </xf>
    <xf numFmtId="0" fontId="24" fillId="0" borderId="1" xfId="12" applyNumberFormat="1" applyFont="1" applyFill="1" applyBorder="1" applyAlignment="1">
      <alignment horizontal="center" vertical="center" wrapText="1"/>
    </xf>
    <xf numFmtId="0" fontId="27" fillId="0" borderId="3" xfId="12" applyNumberFormat="1" applyFont="1" applyFill="1" applyBorder="1" applyAlignment="1">
      <alignment horizontal="center" vertical="center" wrapText="1"/>
    </xf>
    <xf numFmtId="0" fontId="27" fillId="0" borderId="3" xfId="12" applyNumberFormat="1" applyFont="1" applyFill="1" applyBorder="1" applyAlignment="1">
      <alignment horizontal="left" vertical="center" wrapText="1"/>
    </xf>
    <xf numFmtId="0" fontId="35" fillId="0" borderId="0" xfId="112" applyFont="1" applyAlignment="1">
      <alignment horizontal="left"/>
    </xf>
    <xf numFmtId="0" fontId="35" fillId="0" borderId="0" xfId="112" applyFont="1"/>
    <xf numFmtId="0" fontId="35" fillId="0" borderId="0" xfId="112" applyFont="1" applyAlignment="1">
      <alignment horizontal="center"/>
    </xf>
    <xf numFmtId="0" fontId="36" fillId="0" borderId="0" xfId="112" applyFont="1" applyAlignment="1">
      <alignment horizontal="center"/>
    </xf>
    <xf numFmtId="0" fontId="24" fillId="0" borderId="11" xfId="112" applyFont="1" applyBorder="1" applyAlignment="1">
      <alignment horizontal="center" vertical="center" wrapText="1"/>
    </xf>
    <xf numFmtId="0" fontId="30" fillId="0" borderId="11" xfId="112" applyFont="1" applyBorder="1" applyAlignment="1">
      <alignment horizontal="center" vertical="center" wrapText="1"/>
    </xf>
    <xf numFmtId="0" fontId="30" fillId="0" borderId="1" xfId="113" applyFont="1" applyBorder="1" applyAlignment="1">
      <alignment horizontal="center" vertical="center" wrapText="1"/>
    </xf>
    <xf numFmtId="0" fontId="30" fillId="0" borderId="1" xfId="113" applyFont="1" applyBorder="1" applyAlignment="1">
      <alignment horizontal="left" vertical="center" wrapText="1"/>
    </xf>
    <xf numFmtId="0" fontId="30" fillId="0" borderId="12" xfId="112" applyFont="1" applyFill="1" applyBorder="1" applyAlignment="1">
      <alignment horizontal="center" vertical="center" wrapText="1"/>
    </xf>
    <xf numFmtId="166" fontId="30" fillId="0" borderId="1" xfId="112" applyNumberFormat="1" applyFont="1" applyBorder="1" applyAlignment="1">
      <alignment horizontal="center" vertical="center" wrapText="1"/>
    </xf>
    <xf numFmtId="49" fontId="30" fillId="0" borderId="1" xfId="112" applyNumberFormat="1" applyFont="1" applyFill="1" applyBorder="1" applyAlignment="1">
      <alignment horizontal="center" vertical="center" wrapText="1"/>
    </xf>
    <xf numFmtId="0" fontId="36" fillId="0" borderId="0" xfId="112" applyFont="1"/>
    <xf numFmtId="0" fontId="24" fillId="0" borderId="1" xfId="113" applyFont="1" applyBorder="1" applyAlignment="1">
      <alignment horizontal="center" vertical="center" wrapText="1"/>
    </xf>
    <xf numFmtId="0" fontId="24" fillId="0" borderId="1" xfId="113" applyFont="1" applyBorder="1" applyAlignment="1">
      <alignment horizontal="left" vertical="center" wrapText="1"/>
    </xf>
    <xf numFmtId="0" fontId="24" fillId="0" borderId="12" xfId="112" applyFont="1" applyFill="1" applyBorder="1" applyAlignment="1">
      <alignment horizontal="center" vertical="center" wrapText="1"/>
    </xf>
    <xf numFmtId="166" fontId="24" fillId="0" borderId="12" xfId="112" applyNumberFormat="1" applyFont="1" applyBorder="1" applyAlignment="1">
      <alignment horizontal="center" vertical="center" wrapText="1"/>
    </xf>
    <xf numFmtId="49" fontId="24" fillId="0" borderId="1" xfId="112" applyNumberFormat="1" applyFont="1" applyBorder="1" applyAlignment="1">
      <alignment horizontal="center" vertical="center" wrapText="1"/>
    </xf>
    <xf numFmtId="0" fontId="24" fillId="0" borderId="12" xfId="112" applyFont="1" applyFill="1" applyBorder="1" applyAlignment="1">
      <alignment horizontal="left" vertical="center" wrapText="1"/>
    </xf>
    <xf numFmtId="166" fontId="24" fillId="0" borderId="1" xfId="112" applyNumberFormat="1" applyFont="1" applyFill="1" applyBorder="1" applyAlignment="1">
      <alignment horizontal="center" vertical="center" wrapText="1"/>
    </xf>
    <xf numFmtId="0" fontId="30" fillId="0" borderId="12" xfId="113" applyFont="1" applyBorder="1" applyAlignment="1">
      <alignment horizontal="center" vertical="center" wrapText="1"/>
    </xf>
    <xf numFmtId="0" fontId="24" fillId="0" borderId="12" xfId="113" applyFont="1" applyBorder="1" applyAlignment="1">
      <alignment horizontal="center" vertical="center" wrapText="1"/>
    </xf>
    <xf numFmtId="49" fontId="30" fillId="0" borderId="1" xfId="112" applyNumberFormat="1" applyFont="1" applyBorder="1" applyAlignment="1">
      <alignment horizontal="center" vertical="center" wrapText="1"/>
    </xf>
    <xf numFmtId="0" fontId="30" fillId="0" borderId="1" xfId="112" applyFont="1" applyBorder="1" applyAlignment="1">
      <alignment horizontal="left" vertical="center" wrapText="1"/>
    </xf>
    <xf numFmtId="0" fontId="24" fillId="0" borderId="0" xfId="112" applyFont="1" applyBorder="1" applyAlignment="1">
      <alignment horizontal="left" vertical="center" wrapText="1"/>
    </xf>
    <xf numFmtId="0" fontId="24" fillId="0" borderId="0" xfId="112" applyFont="1" applyBorder="1" applyAlignment="1">
      <alignment horizontal="center" vertical="center" wrapText="1"/>
    </xf>
    <xf numFmtId="166" fontId="24" fillId="0" borderId="0" xfId="112" applyNumberFormat="1" applyFont="1" applyFill="1" applyBorder="1" applyAlignment="1">
      <alignment horizontal="center" vertical="center" wrapText="1"/>
    </xf>
    <xf numFmtId="166" fontId="30" fillId="0" borderId="0" xfId="112" applyNumberFormat="1" applyFont="1" applyBorder="1" applyAlignment="1">
      <alignment horizontal="center" vertical="center" wrapText="1"/>
    </xf>
    <xf numFmtId="49" fontId="24" fillId="0" borderId="0" xfId="112" applyNumberFormat="1" applyFont="1" applyBorder="1" applyAlignment="1">
      <alignment horizontal="center" vertical="center" wrapText="1"/>
    </xf>
    <xf numFmtId="0" fontId="27" fillId="0" borderId="1" xfId="12" applyNumberFormat="1" applyFont="1" applyFill="1" applyBorder="1" applyAlignment="1">
      <alignment horizontal="center" vertical="center" wrapText="1"/>
    </xf>
    <xf numFmtId="0" fontId="24" fillId="0" borderId="1" xfId="12" applyNumberFormat="1" applyFont="1" applyFill="1" applyBorder="1" applyAlignment="1">
      <alignment horizontal="left" vertical="center" wrapText="1"/>
    </xf>
    <xf numFmtId="0" fontId="24" fillId="0" borderId="1" xfId="12" applyNumberFormat="1" applyFont="1" applyFill="1" applyBorder="1" applyAlignment="1">
      <alignment horizontal="center" vertical="center" wrapText="1"/>
    </xf>
    <xf numFmtId="14" fontId="27" fillId="0" borderId="3" xfId="12" applyNumberFormat="1" applyFont="1" applyFill="1" applyBorder="1" applyAlignment="1">
      <alignment horizontal="center" vertical="center" wrapText="1"/>
    </xf>
    <xf numFmtId="0" fontId="27" fillId="0" borderId="3" xfId="12" applyNumberFormat="1" applyFont="1" applyFill="1" applyBorder="1" applyAlignment="1">
      <alignment vertical="center" wrapText="1"/>
    </xf>
    <xf numFmtId="0" fontId="24" fillId="0" borderId="1" xfId="0" applyFont="1" applyFill="1" applyBorder="1">
      <alignment wrapText="1"/>
    </xf>
    <xf numFmtId="49" fontId="24" fillId="0" borderId="0" xfId="115" applyNumberFormat="1" applyFont="1" applyFill="1" applyBorder="1" applyAlignment="1">
      <alignment horizontal="center" vertical="center"/>
    </xf>
    <xf numFmtId="0" fontId="24" fillId="0" borderId="0" xfId="115" applyFont="1" applyAlignment="1">
      <alignment vertical="center"/>
    </xf>
    <xf numFmtId="0" fontId="24" fillId="0" borderId="0" xfId="115" applyFont="1" applyFill="1" applyBorder="1" applyAlignment="1">
      <alignment horizontal="left" vertical="center" wrapText="1"/>
    </xf>
    <xf numFmtId="0" fontId="24" fillId="0" borderId="0" xfId="115" applyFont="1" applyFill="1" applyBorder="1" applyAlignment="1">
      <alignment horizontal="right" vertical="center"/>
    </xf>
    <xf numFmtId="0" fontId="37" fillId="0" borderId="0" xfId="115" applyFont="1" applyFill="1"/>
    <xf numFmtId="0" fontId="24" fillId="0" borderId="0" xfId="115" applyFont="1" applyAlignment="1">
      <alignment horizontal="center"/>
    </xf>
    <xf numFmtId="0" fontId="24" fillId="0" borderId="0" xfId="115" applyFont="1" applyFill="1"/>
    <xf numFmtId="0" fontId="30" fillId="0" borderId="0" xfId="115" applyFont="1" applyFill="1" applyBorder="1" applyAlignment="1">
      <alignment horizontal="center" vertical="center" wrapText="1"/>
    </xf>
    <xf numFmtId="0" fontId="30" fillId="0" borderId="1" xfId="115" applyFont="1" applyFill="1" applyBorder="1" applyAlignment="1">
      <alignment horizontal="center" vertical="center"/>
    </xf>
    <xf numFmtId="49" fontId="30" fillId="0" borderId="1" xfId="115" applyNumberFormat="1" applyFont="1" applyFill="1" applyBorder="1" applyAlignment="1">
      <alignment horizontal="center" vertical="center"/>
    </xf>
    <xf numFmtId="0" fontId="30" fillId="0" borderId="1" xfId="115" applyFont="1" applyFill="1" applyBorder="1" applyAlignment="1">
      <alignment horizontal="justify" vertical="center" wrapText="1"/>
    </xf>
    <xf numFmtId="167" fontId="30" fillId="0" borderId="1" xfId="115" applyNumberFormat="1" applyFont="1" applyFill="1" applyBorder="1" applyAlignment="1">
      <alignment horizontal="center" vertical="center"/>
    </xf>
    <xf numFmtId="49" fontId="24" fillId="0" borderId="1" xfId="115" applyNumberFormat="1" applyFont="1" applyFill="1" applyBorder="1" applyAlignment="1">
      <alignment horizontal="center" vertical="center"/>
    </xf>
    <xf numFmtId="0" fontId="24" fillId="0" borderId="1" xfId="115" applyFont="1" applyFill="1" applyBorder="1" applyAlignment="1">
      <alignment horizontal="justify" vertical="center" wrapText="1"/>
    </xf>
    <xf numFmtId="167" fontId="24" fillId="0" borderId="1" xfId="115" applyNumberFormat="1" applyFont="1" applyFill="1" applyBorder="1" applyAlignment="1">
      <alignment horizontal="center" vertical="center"/>
    </xf>
    <xf numFmtId="0" fontId="24" fillId="0" borderId="1" xfId="115" applyFont="1" applyFill="1" applyBorder="1" applyAlignment="1">
      <alignment horizontal="justify" vertical="top" wrapText="1"/>
    </xf>
    <xf numFmtId="49" fontId="24" fillId="0" borderId="1" xfId="115" applyNumberFormat="1" applyFont="1" applyFill="1" applyBorder="1" applyAlignment="1">
      <alignment horizontal="center" vertical="center" wrapText="1"/>
    </xf>
    <xf numFmtId="0" fontId="24" fillId="0" borderId="1" xfId="115" applyFont="1" applyFill="1" applyBorder="1" applyAlignment="1">
      <alignment horizontal="left" vertical="top" wrapText="1"/>
    </xf>
    <xf numFmtId="167" fontId="37" fillId="0" borderId="1" xfId="51" applyNumberFormat="1" applyFont="1" applyFill="1" applyBorder="1" applyAlignment="1">
      <alignment horizontal="center" vertical="center"/>
    </xf>
    <xf numFmtId="166" fontId="24" fillId="0" borderId="17" xfId="60" applyNumberFormat="1" applyFont="1" applyFill="1" applyBorder="1" applyAlignment="1" applyProtection="1">
      <alignment horizontal="center" vertical="center"/>
    </xf>
    <xf numFmtId="166" fontId="24" fillId="0" borderId="17" xfId="51" applyNumberFormat="1" applyFont="1" applyFill="1" applyBorder="1" applyAlignment="1">
      <alignment horizontal="center" vertical="center" wrapText="1"/>
    </xf>
    <xf numFmtId="167" fontId="24" fillId="0" borderId="1" xfId="115" applyNumberFormat="1" applyFont="1" applyFill="1" applyBorder="1" applyAlignment="1">
      <alignment horizontal="center" vertical="center" wrapText="1"/>
    </xf>
    <xf numFmtId="0" fontId="24" fillId="0" borderId="1" xfId="115" applyFont="1" applyFill="1" applyBorder="1" applyAlignment="1">
      <alignment horizontal="center" vertical="center"/>
    </xf>
    <xf numFmtId="3" fontId="24" fillId="0" borderId="1" xfId="115" applyNumberFormat="1" applyFont="1" applyFill="1" applyBorder="1" applyAlignment="1">
      <alignment horizontal="center" vertical="center" wrapText="1"/>
    </xf>
    <xf numFmtId="3" fontId="30" fillId="0" borderId="1" xfId="115" applyNumberFormat="1" applyFont="1" applyFill="1" applyBorder="1" applyAlignment="1">
      <alignment horizontal="center" vertical="center" wrapText="1"/>
    </xf>
    <xf numFmtId="2" fontId="37" fillId="0" borderId="0" xfId="115" applyNumberFormat="1" applyFont="1" applyFill="1"/>
    <xf numFmtId="0" fontId="30" fillId="0" borderId="1" xfId="115" applyNumberFormat="1" applyFont="1" applyFill="1" applyBorder="1" applyAlignment="1" applyProtection="1">
      <alignment horizontal="center" vertical="center"/>
    </xf>
    <xf numFmtId="0" fontId="30" fillId="0" borderId="1" xfId="115" applyNumberFormat="1" applyFont="1" applyFill="1" applyBorder="1" applyAlignment="1" applyProtection="1">
      <alignment horizontal="justify" vertical="center" wrapText="1"/>
    </xf>
    <xf numFmtId="167" fontId="37" fillId="0" borderId="0" xfId="115" applyNumberFormat="1" applyFont="1" applyFill="1"/>
    <xf numFmtId="0" fontId="24" fillId="0" borderId="1" xfId="115" applyNumberFormat="1" applyFont="1" applyFill="1" applyBorder="1" applyAlignment="1" applyProtection="1">
      <alignment horizontal="center" vertical="center"/>
    </xf>
    <xf numFmtId="0" fontId="24" fillId="0" borderId="1" xfId="115" applyNumberFormat="1" applyFont="1" applyFill="1" applyBorder="1" applyAlignment="1" applyProtection="1">
      <alignment horizontal="justify" vertical="center" wrapText="1"/>
    </xf>
    <xf numFmtId="0" fontId="38" fillId="0" borderId="1" xfId="116" applyNumberFormat="1" applyFont="1" applyFill="1" applyBorder="1" applyAlignment="1" applyProtection="1">
      <alignment horizontal="center" vertical="center"/>
    </xf>
    <xf numFmtId="0" fontId="38" fillId="0" borderId="1" xfId="116" applyNumberFormat="1" applyFont="1" applyFill="1" applyBorder="1" applyAlignment="1" applyProtection="1">
      <alignment horizontal="justify" vertical="center" wrapText="1"/>
    </xf>
    <xf numFmtId="0" fontId="24" fillId="0" borderId="1" xfId="115" applyNumberFormat="1" applyFont="1" applyFill="1" applyBorder="1" applyAlignment="1" applyProtection="1">
      <alignment horizontal="center" vertical="center" wrapText="1"/>
    </xf>
    <xf numFmtId="0" fontId="39" fillId="0" borderId="1" xfId="116" applyNumberFormat="1" applyFont="1" applyFill="1" applyBorder="1" applyAlignment="1" applyProtection="1">
      <alignment horizontal="left" vertical="top" wrapText="1"/>
    </xf>
    <xf numFmtId="0" fontId="24" fillId="0" borderId="1" xfId="115" applyNumberFormat="1" applyFont="1" applyFill="1" applyBorder="1" applyAlignment="1" applyProtection="1">
      <alignment horizontal="justify" vertical="top" wrapText="1"/>
    </xf>
    <xf numFmtId="49" fontId="39" fillId="0" borderId="1" xfId="116" applyNumberFormat="1" applyFont="1" applyFill="1" applyBorder="1" applyAlignment="1">
      <alignment horizontal="center" vertical="center"/>
    </xf>
    <xf numFmtId="0" fontId="39" fillId="0" borderId="1" xfId="116" applyNumberFormat="1" applyFont="1" applyFill="1" applyBorder="1" applyAlignment="1" applyProtection="1">
      <alignment horizontal="justify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37" fillId="0" borderId="0" xfId="115" applyFont="1"/>
    <xf numFmtId="0" fontId="40" fillId="0" borderId="0" xfId="115" applyFont="1" applyFill="1"/>
    <xf numFmtId="0" fontId="40" fillId="0" borderId="0" xfId="115" applyFont="1"/>
    <xf numFmtId="0" fontId="30" fillId="0" borderId="1" xfId="117" applyNumberFormat="1" applyFont="1" applyFill="1" applyBorder="1" applyAlignment="1" applyProtection="1">
      <alignment horizontal="center" vertical="center"/>
    </xf>
    <xf numFmtId="0" fontId="30" fillId="0" borderId="1" xfId="117" applyNumberFormat="1" applyFont="1" applyFill="1" applyBorder="1" applyAlignment="1" applyProtection="1">
      <alignment horizontal="justify" vertical="center" wrapText="1"/>
    </xf>
    <xf numFmtId="167" fontId="30" fillId="0" borderId="1" xfId="117" applyNumberFormat="1" applyFont="1" applyFill="1" applyBorder="1" applyAlignment="1">
      <alignment horizontal="center" vertical="center"/>
    </xf>
    <xf numFmtId="49" fontId="24" fillId="0" borderId="1" xfId="117" applyNumberFormat="1" applyFont="1" applyFill="1" applyBorder="1" applyAlignment="1">
      <alignment horizontal="center" vertical="center"/>
    </xf>
    <xf numFmtId="0" fontId="24" fillId="0" borderId="1" xfId="117" applyNumberFormat="1" applyFont="1" applyFill="1" applyBorder="1" applyAlignment="1" applyProtection="1">
      <alignment horizontal="justify" vertical="center" wrapText="1"/>
    </xf>
    <xf numFmtId="167" fontId="24" fillId="0" borderId="1" xfId="117" applyNumberFormat="1" applyFont="1" applyFill="1" applyBorder="1" applyAlignment="1">
      <alignment horizontal="center" vertical="center"/>
    </xf>
    <xf numFmtId="0" fontId="30" fillId="0" borderId="1" xfId="34" applyFont="1" applyFill="1" applyBorder="1" applyAlignment="1">
      <alignment horizontal="center" vertical="center"/>
    </xf>
    <xf numFmtId="0" fontId="30" fillId="0" borderId="1" xfId="34" applyFont="1" applyFill="1" applyBorder="1" applyAlignment="1">
      <alignment horizontal="justify" vertical="center" wrapText="1"/>
    </xf>
    <xf numFmtId="167" fontId="30" fillId="0" borderId="1" xfId="34" applyNumberFormat="1" applyFont="1" applyFill="1" applyBorder="1" applyAlignment="1">
      <alignment horizontal="center" vertical="center"/>
    </xf>
    <xf numFmtId="0" fontId="24" fillId="0" borderId="1" xfId="34" applyFont="1" applyFill="1" applyBorder="1" applyAlignment="1">
      <alignment horizontal="center" vertical="center"/>
    </xf>
    <xf numFmtId="0" fontId="24" fillId="0" borderId="1" xfId="34" applyFont="1" applyFill="1" applyBorder="1" applyAlignment="1">
      <alignment horizontal="justify" vertical="center" wrapText="1"/>
    </xf>
    <xf numFmtId="167" fontId="24" fillId="0" borderId="1" xfId="34" applyNumberFormat="1" applyFont="1" applyFill="1" applyBorder="1" applyAlignment="1">
      <alignment horizontal="center" vertical="center"/>
    </xf>
    <xf numFmtId="0" fontId="30" fillId="0" borderId="1" xfId="115" applyFont="1" applyFill="1" applyBorder="1" applyAlignment="1">
      <alignment horizontal="left" vertical="center" wrapText="1"/>
    </xf>
    <xf numFmtId="2" fontId="24" fillId="0" borderId="0" xfId="115" applyNumberFormat="1" applyFont="1" applyFill="1"/>
    <xf numFmtId="4" fontId="24" fillId="0" borderId="0" xfId="115" applyNumberFormat="1" applyFont="1" applyFill="1"/>
    <xf numFmtId="0" fontId="27" fillId="0" borderId="1" xfId="12" applyNumberFormat="1" applyFont="1" applyFill="1" applyBorder="1" applyAlignment="1">
      <alignment horizontal="center" vertical="center" wrapText="1"/>
    </xf>
    <xf numFmtId="0" fontId="24" fillId="0" borderId="1" xfId="12" applyNumberFormat="1" applyFont="1" applyFill="1" applyBorder="1" applyAlignment="1">
      <alignment horizontal="left" vertical="center" wrapText="1"/>
    </xf>
    <xf numFmtId="0" fontId="24" fillId="0" borderId="1" xfId="12" applyNumberFormat="1" applyFont="1" applyFill="1" applyBorder="1" applyAlignment="1">
      <alignment horizontal="center" vertical="center" wrapText="1"/>
    </xf>
    <xf numFmtId="0" fontId="24" fillId="0" borderId="1" xfId="106" applyNumberFormat="1" applyFont="1" applyFill="1" applyBorder="1" applyAlignment="1" applyProtection="1">
      <alignment horizontal="center" vertical="center"/>
    </xf>
    <xf numFmtId="0" fontId="24" fillId="0" borderId="1" xfId="106" applyNumberFormat="1" applyFont="1" applyFill="1" applyBorder="1" applyAlignment="1" applyProtection="1">
      <alignment horizontal="justify" vertical="top" wrapText="1"/>
    </xf>
    <xf numFmtId="167" fontId="24" fillId="0" borderId="1" xfId="106" applyNumberFormat="1" applyFont="1" applyFill="1" applyBorder="1" applyAlignment="1">
      <alignment horizontal="center" vertical="center"/>
    </xf>
    <xf numFmtId="0" fontId="24" fillId="0" borderId="1" xfId="12" applyNumberFormat="1" applyFont="1" applyFill="1" applyBorder="1" applyAlignment="1">
      <alignment horizontal="left" vertical="center" wrapText="1"/>
    </xf>
    <xf numFmtId="0" fontId="24" fillId="0" borderId="1" xfId="112" applyFont="1" applyBorder="1" applyAlignment="1">
      <alignment horizontal="left" vertical="center" wrapText="1"/>
    </xf>
    <xf numFmtId="0" fontId="24" fillId="0" borderId="1" xfId="112" applyFont="1" applyBorder="1" applyAlignment="1">
      <alignment horizontal="center" vertical="center" wrapText="1"/>
    </xf>
    <xf numFmtId="0" fontId="30" fillId="0" borderId="1" xfId="112" applyFont="1" applyBorder="1" applyAlignment="1">
      <alignment horizontal="center" vertical="center"/>
    </xf>
    <xf numFmtId="0" fontId="24" fillId="0" borderId="1" xfId="112" applyFont="1" applyBorder="1" applyAlignment="1">
      <alignment horizontal="center" vertical="center"/>
    </xf>
    <xf numFmtId="166" fontId="30" fillId="0" borderId="1" xfId="112" applyNumberFormat="1" applyFont="1" applyBorder="1" applyAlignment="1">
      <alignment horizontal="center" vertical="center"/>
    </xf>
    <xf numFmtId="166" fontId="24" fillId="0" borderId="1" xfId="112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30" fillId="0" borderId="0" xfId="0" applyFont="1" applyAlignment="1">
      <alignment horizont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115" applyFont="1" applyFill="1" applyBorder="1" applyAlignment="1">
      <alignment horizontal="right" vertical="center"/>
    </xf>
    <xf numFmtId="0" fontId="30" fillId="0" borderId="0" xfId="115" applyFont="1" applyFill="1" applyBorder="1" applyAlignment="1">
      <alignment horizontal="center" vertical="center" wrapText="1"/>
    </xf>
    <xf numFmtId="49" fontId="30" fillId="0" borderId="1" xfId="115" applyNumberFormat="1" applyFont="1" applyFill="1" applyBorder="1" applyAlignment="1">
      <alignment horizontal="center" vertical="center" wrapText="1"/>
    </xf>
    <xf numFmtId="0" fontId="30" fillId="0" borderId="1" xfId="115" applyFont="1" applyFill="1" applyBorder="1" applyAlignment="1">
      <alignment horizontal="center" vertical="center" wrapText="1"/>
    </xf>
    <xf numFmtId="0" fontId="27" fillId="0" borderId="7" xfId="12" applyNumberFormat="1" applyFont="1" applyFill="1" applyBorder="1" applyAlignment="1">
      <alignment horizontal="center" vertical="center" wrapText="1"/>
    </xf>
    <xf numFmtId="0" fontId="27" fillId="0" borderId="8" xfId="12" applyNumberFormat="1" applyFont="1" applyFill="1" applyBorder="1" applyAlignment="1">
      <alignment horizontal="center" vertical="center" wrapText="1"/>
    </xf>
    <xf numFmtId="0" fontId="27" fillId="0" borderId="9" xfId="12" applyNumberFormat="1" applyFont="1" applyFill="1" applyBorder="1" applyAlignment="1">
      <alignment horizontal="center" vertical="center" wrapText="1"/>
    </xf>
    <xf numFmtId="0" fontId="27" fillId="0" borderId="0" xfId="12" applyNumberFormat="1" applyFont="1" applyFill="1" applyAlignment="1">
      <alignment horizontal="right" vertical="center" wrapText="1"/>
    </xf>
    <xf numFmtId="0" fontId="31" fillId="0" borderId="10" xfId="12" applyNumberFormat="1" applyFont="1" applyFill="1" applyBorder="1" applyAlignment="1">
      <alignment horizontal="center" vertical="center" wrapText="1"/>
    </xf>
    <xf numFmtId="0" fontId="27" fillId="0" borderId="4" xfId="12" applyNumberFormat="1" applyFont="1" applyFill="1" applyBorder="1" applyAlignment="1">
      <alignment horizontal="center" vertical="center" wrapText="1"/>
    </xf>
    <xf numFmtId="0" fontId="27" fillId="0" borderId="6" xfId="12" applyNumberFormat="1" applyFont="1" applyFill="1" applyBorder="1" applyAlignment="1">
      <alignment horizontal="center" vertical="center" wrapText="1"/>
    </xf>
    <xf numFmtId="0" fontId="27" fillId="0" borderId="5" xfId="12" applyNumberFormat="1" applyFont="1" applyFill="1" applyBorder="1" applyAlignment="1">
      <alignment horizontal="center" vertical="center" wrapText="1"/>
    </xf>
    <xf numFmtId="0" fontId="27" fillId="0" borderId="0" xfId="12" applyNumberFormat="1" applyFont="1" applyFill="1" applyAlignment="1">
      <alignment horizontal="right" vertical="top" wrapText="1"/>
    </xf>
    <xf numFmtId="0" fontId="31" fillId="0" borderId="0" xfId="12" applyNumberFormat="1" applyFont="1" applyFill="1" applyAlignment="1">
      <alignment horizontal="center" vertical="center" wrapText="1"/>
    </xf>
    <xf numFmtId="0" fontId="27" fillId="0" borderId="1" xfId="12" applyNumberFormat="1" applyFont="1" applyFill="1" applyBorder="1" applyAlignment="1">
      <alignment horizontal="center" vertical="center" wrapText="1"/>
    </xf>
    <xf numFmtId="0" fontId="24" fillId="0" borderId="1" xfId="12" applyNumberFormat="1" applyFont="1" applyFill="1" applyBorder="1" applyAlignment="1">
      <alignment horizontal="left" vertical="center" wrapText="1"/>
    </xf>
    <xf numFmtId="0" fontId="24" fillId="0" borderId="1" xfId="12" applyNumberFormat="1" applyFont="1" applyFill="1" applyBorder="1" applyAlignment="1">
      <alignment horizontal="center" vertical="center" wrapText="1"/>
    </xf>
    <xf numFmtId="0" fontId="27" fillId="0" borderId="3" xfId="12" applyNumberFormat="1" applyFont="1" applyFill="1" applyBorder="1" applyAlignment="1">
      <alignment horizontal="center" vertical="center" wrapText="1"/>
    </xf>
    <xf numFmtId="0" fontId="27" fillId="0" borderId="3" xfId="12" applyNumberFormat="1" applyFont="1" applyFill="1" applyBorder="1" applyAlignment="1">
      <alignment horizontal="left" vertical="center" wrapText="1"/>
    </xf>
    <xf numFmtId="0" fontId="27" fillId="0" borderId="0" xfId="13" applyNumberFormat="1" applyFont="1" applyFill="1" applyAlignment="1">
      <alignment horizontal="right" vertical="center" wrapText="1"/>
    </xf>
    <xf numFmtId="0" fontId="31" fillId="0" borderId="0" xfId="13" applyNumberFormat="1" applyFont="1" applyFill="1" applyAlignment="1">
      <alignment horizontal="center" vertical="center" wrapText="1"/>
    </xf>
    <xf numFmtId="0" fontId="27" fillId="0" borderId="3" xfId="13" applyNumberFormat="1" applyFont="1" applyFill="1" applyBorder="1" applyAlignment="1">
      <alignment horizontal="center" vertical="center" wrapText="1"/>
    </xf>
    <xf numFmtId="166" fontId="27" fillId="0" borderId="3" xfId="13" applyNumberFormat="1" applyFont="1" applyFill="1" applyBorder="1" applyAlignment="1">
      <alignment horizontal="center" vertical="center" wrapText="1"/>
    </xf>
    <xf numFmtId="0" fontId="24" fillId="0" borderId="13" xfId="112" applyFont="1" applyBorder="1" applyAlignment="1">
      <alignment horizontal="center" vertical="center" wrapText="1"/>
    </xf>
    <xf numFmtId="0" fontId="24" fillId="0" borderId="14" xfId="112" applyFont="1" applyBorder="1" applyAlignment="1">
      <alignment horizontal="center" vertical="center" wrapText="1"/>
    </xf>
    <xf numFmtId="0" fontId="24" fillId="0" borderId="0" xfId="12" applyNumberFormat="1" applyFont="1" applyFill="1" applyAlignment="1">
      <alignment horizontal="right" vertical="top" wrapText="1"/>
    </xf>
    <xf numFmtId="0" fontId="30" fillId="0" borderId="0" xfId="112" applyFont="1" applyAlignment="1">
      <alignment horizontal="center"/>
    </xf>
    <xf numFmtId="0" fontId="24" fillId="0" borderId="1" xfId="112" applyFont="1" applyBorder="1" applyAlignment="1">
      <alignment horizontal="left" vertical="center" wrapText="1"/>
    </xf>
    <xf numFmtId="0" fontId="24" fillId="0" borderId="1" xfId="112" applyFont="1" applyBorder="1" applyAlignment="1">
      <alignment horizontal="center" vertical="center" wrapText="1"/>
    </xf>
    <xf numFmtId="0" fontId="24" fillId="0" borderId="2" xfId="112" applyFont="1" applyBorder="1" applyAlignment="1">
      <alignment horizontal="center" vertical="center" wrapText="1"/>
    </xf>
  </cellXfs>
  <cellStyles count="118">
    <cellStyle name="Обычный" xfId="0" builtinId="0"/>
    <cellStyle name="Обычный 10" xfId="12"/>
    <cellStyle name="Обычный 10 2" xfId="94"/>
    <cellStyle name="Обычный 11" xfId="13"/>
    <cellStyle name="Обычный 11 2" xfId="35"/>
    <cellStyle name="Обычный 12" xfId="24"/>
    <cellStyle name="Обычный 13" xfId="25"/>
    <cellStyle name="Обычный 13 2" xfId="22"/>
    <cellStyle name="Обычный 13 2 2" xfId="36"/>
    <cellStyle name="Обычный 13 2 2 2" xfId="63"/>
    <cellStyle name="Обычный 13 2 3" xfId="37"/>
    <cellStyle name="Обычный 13 2 4" xfId="64"/>
    <cellStyle name="Обычный 13 2 5" xfId="84"/>
    <cellStyle name="Обычный 13 3" xfId="38"/>
    <cellStyle name="Обычный 13 4" xfId="65"/>
    <cellStyle name="Обычный 14" xfId="39"/>
    <cellStyle name="Обычный 15" xfId="34"/>
    <cellStyle name="Обычный 2" xfId="1"/>
    <cellStyle name="Обычный 2 2" xfId="11"/>
    <cellStyle name="Обычный 2 2 2" xfId="40"/>
    <cellStyle name="Обычный 2 2 3" xfId="66"/>
    <cellStyle name="Обычный 2 3" xfId="14"/>
    <cellStyle name="Обычный 2 3 2" xfId="41"/>
    <cellStyle name="Обычный 2 3 3" xfId="67"/>
    <cellStyle name="Обычный 2 4" xfId="15"/>
    <cellStyle name="Обычный 2 4 2" xfId="42"/>
    <cellStyle name="Обычный 2 4 3" xfId="68"/>
    <cellStyle name="Обычный 2 5" xfId="16"/>
    <cellStyle name="Обычный 2 5 2" xfId="43"/>
    <cellStyle name="Обычный 2 5 3" xfId="69"/>
    <cellStyle name="Обычный 2 6" xfId="17"/>
    <cellStyle name="Обычный 2 6 2" xfId="44"/>
    <cellStyle name="Обычный 2 6 3" xfId="70"/>
    <cellStyle name="Обычный 2 7" xfId="18"/>
    <cellStyle name="Обычный 2 7 2" xfId="45"/>
    <cellStyle name="Обычный 2 7 3" xfId="71"/>
    <cellStyle name="Обычный 2 8" xfId="21"/>
    <cellStyle name="Обычный 2 8 2" xfId="26"/>
    <cellStyle name="Обычный 2 8 2 2" xfId="32"/>
    <cellStyle name="Обычный 2 8 2 3" xfId="61"/>
    <cellStyle name="Обычный 2 8 2 3 2" xfId="86"/>
    <cellStyle name="Обычный 2 8 2 3 3" xfId="88"/>
    <cellStyle name="Обычный 2 8 2 3 3 2" xfId="91"/>
    <cellStyle name="Обычный 2 8 2 3 3 2 2" xfId="112"/>
    <cellStyle name="Обычный 2 8 2 3 3 3" xfId="95"/>
    <cellStyle name="Обычный 2 8 2 3 3 3 2" xfId="96"/>
    <cellStyle name="Обычный 2 8 2 3 3 3 2 2" xfId="98"/>
    <cellStyle name="Обычный 2 8 2 3 3 3 2 2 2" xfId="100"/>
    <cellStyle name="Обычный 2 8 2 3 3 3 2 2 2 2" xfId="103"/>
    <cellStyle name="Обычный 2 8 2 3 3 3 2 2 2 3" xfId="106"/>
    <cellStyle name="Обычный 2 8 2 3 3 3 2 2 2 3 2" xfId="109"/>
    <cellStyle name="Обычный 2 8 2 3 3 3 2 2 2 3 3" xfId="115"/>
    <cellStyle name="Обычный 2 8 3" xfId="27"/>
    <cellStyle name="Обычный 2 8 3 2" xfId="46"/>
    <cellStyle name="Обычный 2 8 3 3" xfId="72"/>
    <cellStyle name="Обычный 2 8 4" xfId="28"/>
    <cellStyle name="Обычный 2 8 4 2" xfId="47"/>
    <cellStyle name="Обычный 2 8 4 3" xfId="73"/>
    <cellStyle name="Обычный 2 8 5" xfId="29"/>
    <cellStyle name="Обычный 2 8 5 2" xfId="48"/>
    <cellStyle name="Обычный 2 8 5 3" xfId="74"/>
    <cellStyle name="Обычный 2 8 6" xfId="49"/>
    <cellStyle name="Обычный 2 8 6 2" xfId="75"/>
    <cellStyle name="Обычный 2 8 7" xfId="31"/>
    <cellStyle name="Обычный 2 8 7 2" xfId="33"/>
    <cellStyle name="Обычный 2 8 7 3" xfId="62"/>
    <cellStyle name="Обычный 2 8 7 3 2" xfId="87"/>
    <cellStyle name="Обычный 2 8 7 3 3" xfId="89"/>
    <cellStyle name="Обычный 2 8 7 3 3 2" xfId="92"/>
    <cellStyle name="Обычный 2 8 7 3 3 3 2 2" xfId="102"/>
    <cellStyle name="Обычный 2 8 7 3 3 3 2 2 2" xfId="105"/>
    <cellStyle name="Обычный 2 8 7 3 3 3 2 2 3" xfId="108"/>
    <cellStyle name="Обычный 2 8 7 3 3 3 2 2 3 2" xfId="111"/>
    <cellStyle name="Обычный 2 8 7 3 3 3 2 2 3 3" xfId="117"/>
    <cellStyle name="Обычный 2 8 7 4" xfId="97"/>
    <cellStyle name="Обычный 2 8 7 4 2" xfId="99"/>
    <cellStyle name="Обычный 2 8 7 4 2 2" xfId="101"/>
    <cellStyle name="Обычный 2 8 7 4 2 2 2" xfId="104"/>
    <cellStyle name="Обычный 2 8 7 4 2 2 3" xfId="107"/>
    <cellStyle name="Обычный 2 8 7 4 2 2 3 2" xfId="110"/>
    <cellStyle name="Обычный 2 8 7 4 2 2 3 3" xfId="116"/>
    <cellStyle name="Обычный 2 8 8" xfId="50"/>
    <cellStyle name="Обычный 2 8 9" xfId="76"/>
    <cellStyle name="Обычный 2 9" xfId="51"/>
    <cellStyle name="Обычный 3" xfId="2"/>
    <cellStyle name="Обычный 3 2" xfId="52"/>
    <cellStyle name="Обычный 4" xfId="3"/>
    <cellStyle name="Обычный 4 2" xfId="9"/>
    <cellStyle name="Обычный 4 2 2" xfId="19"/>
    <cellStyle name="Обычный 4 2 2 2" xfId="20"/>
    <cellStyle name="Обычный 4 2 2 2 2" xfId="53"/>
    <cellStyle name="Обычный 4 2 2 2 3" xfId="77"/>
    <cellStyle name="Обычный 4 2 2 3" xfId="54"/>
    <cellStyle name="Обычный 4 2 2 4" xfId="78"/>
    <cellStyle name="Обычный 4 2 3" xfId="30"/>
    <cellStyle name="Обычный 4 2 3 2" xfId="23"/>
    <cellStyle name="Обычный 4 2 3 2 2" xfId="55"/>
    <cellStyle name="Обычный 4 2 3 2 2 2" xfId="79"/>
    <cellStyle name="Обычный 4 2 3 2 3" xfId="56"/>
    <cellStyle name="Обычный 4 2 3 2 4" xfId="80"/>
    <cellStyle name="Обычный 4 2 3 2 5" xfId="85"/>
    <cellStyle name="Обычный 4 2 3 2 5 2" xfId="114"/>
    <cellStyle name="Обычный 4 2 3 3" xfId="57"/>
    <cellStyle name="Обычный 4 2 3 4" xfId="81"/>
    <cellStyle name="Обычный 4 2 4" xfId="58"/>
    <cellStyle name="Обычный 4 2 5" xfId="82"/>
    <cellStyle name="Обычный 4 2 6" xfId="93"/>
    <cellStyle name="Обычный 4 2 6 2" xfId="113"/>
    <cellStyle name="Обычный 4 3" xfId="59"/>
    <cellStyle name="Обычный 4 4" xfId="83"/>
    <cellStyle name="Обычный 5" xfId="5"/>
    <cellStyle name="Обычный 6" xfId="6"/>
    <cellStyle name="Обычный 7" xfId="7"/>
    <cellStyle name="Обычный 8" xfId="8"/>
    <cellStyle name="Обычный 9" xfId="10"/>
    <cellStyle name="Финансовый [0] 2" xfId="90"/>
    <cellStyle name="Финансовый 2" xfId="4"/>
    <cellStyle name="Финансовый 2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9%20&#1075;&#1086;&#1076;%20-%20&#1059;&#1058;&#1054;&#1063;&#1053;&#1045;&#1053;&#1048;&#1045;%20&#1073;&#1102;&#1076;&#1078;&#1077;&#1090;&#1072;/4%20&#1059;&#1090;&#1086;&#1095;&#1085;&#1077;&#1085;&#1080;&#1077;/&#1088;&#1077;&#1096;&#1077;&#1085;&#1080;&#1077;%20&#1086;&#1090;%2008.08.2019%20&#8470;%20217/&#1087;&#1088;&#1080;&#1083;&#1086;&#1078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 "/>
      <sheetName val="№ 2"/>
      <sheetName val="№ 3 "/>
      <sheetName val="№ 4"/>
      <sheetName val="№ 5"/>
      <sheetName val="№6"/>
      <sheetName val="№7"/>
    </sheetNames>
    <sheetDataSet>
      <sheetData sheetId="0"/>
      <sheetData sheetId="1"/>
      <sheetData sheetId="2"/>
      <sheetData sheetId="3">
        <row r="565">
          <cell r="F565">
            <v>3915.0999999999995</v>
          </cell>
          <cell r="G565">
            <v>7830.1</v>
          </cell>
          <cell r="H565">
            <v>12723.9</v>
          </cell>
        </row>
        <row r="568">
          <cell r="F568">
            <v>1957.6</v>
          </cell>
        </row>
      </sheetData>
      <sheetData sheetId="4">
        <row r="350">
          <cell r="F350">
            <v>35614</v>
          </cell>
          <cell r="G350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opLeftCell="A13" workbookViewId="0">
      <selection activeCell="A18" sqref="A18:XFD18"/>
    </sheetView>
  </sheetViews>
  <sheetFormatPr defaultColWidth="9.140625" defaultRowHeight="15.75"/>
  <cols>
    <col min="1" max="1" width="30.5703125" style="38" customWidth="1"/>
    <col min="2" max="2" width="51.5703125" style="38" customWidth="1"/>
    <col min="3" max="3" width="11.7109375" style="54" customWidth="1"/>
    <col min="4" max="5" width="11.7109375" style="38" customWidth="1"/>
    <col min="6" max="16384" width="9.140625" style="38"/>
  </cols>
  <sheetData>
    <row r="1" spans="1:5">
      <c r="A1" s="206" t="s">
        <v>287</v>
      </c>
      <c r="B1" s="206"/>
      <c r="C1" s="206"/>
      <c r="D1" s="206"/>
      <c r="E1" s="206"/>
    </row>
    <row r="2" spans="1:5">
      <c r="A2" s="206" t="s">
        <v>779</v>
      </c>
      <c r="B2" s="206"/>
      <c r="C2" s="206"/>
      <c r="D2" s="206"/>
      <c r="E2" s="206"/>
    </row>
    <row r="3" spans="1:5">
      <c r="A3" s="206" t="s">
        <v>780</v>
      </c>
      <c r="B3" s="206"/>
      <c r="C3" s="206"/>
      <c r="D3" s="206"/>
      <c r="E3" s="206"/>
    </row>
    <row r="5" spans="1:5">
      <c r="A5" s="207" t="s">
        <v>288</v>
      </c>
      <c r="B5" s="207"/>
      <c r="C5" s="207"/>
      <c r="D5" s="207"/>
      <c r="E5" s="207"/>
    </row>
    <row r="6" spans="1:5">
      <c r="A6" s="207" t="s">
        <v>316</v>
      </c>
      <c r="B6" s="207"/>
      <c r="C6" s="207"/>
      <c r="D6" s="207"/>
      <c r="E6" s="207"/>
    </row>
    <row r="8" spans="1:5">
      <c r="A8" s="208" t="s">
        <v>289</v>
      </c>
      <c r="B8" s="211" t="s">
        <v>20</v>
      </c>
      <c r="C8" s="214" t="s">
        <v>93</v>
      </c>
      <c r="D8" s="215"/>
      <c r="E8" s="216"/>
    </row>
    <row r="9" spans="1:5">
      <c r="A9" s="209"/>
      <c r="B9" s="212"/>
      <c r="C9" s="217" t="s">
        <v>94</v>
      </c>
      <c r="D9" s="217" t="s">
        <v>95</v>
      </c>
      <c r="E9" s="217"/>
    </row>
    <row r="10" spans="1:5">
      <c r="A10" s="210"/>
      <c r="B10" s="213"/>
      <c r="C10" s="217"/>
      <c r="D10" s="83" t="s">
        <v>107</v>
      </c>
      <c r="E10" s="83" t="s">
        <v>317</v>
      </c>
    </row>
    <row r="11" spans="1:5">
      <c r="A11" s="81" t="s">
        <v>4</v>
      </c>
      <c r="B11" s="82">
        <v>2</v>
      </c>
      <c r="C11" s="82">
        <v>3</v>
      </c>
      <c r="D11" s="45">
        <v>4</v>
      </c>
      <c r="E11" s="45">
        <v>5</v>
      </c>
    </row>
    <row r="12" spans="1:5" ht="31.5">
      <c r="A12" s="46" t="s">
        <v>290</v>
      </c>
      <c r="B12" s="47" t="s">
        <v>291</v>
      </c>
      <c r="C12" s="48">
        <f>C16+C13</f>
        <v>25000</v>
      </c>
      <c r="D12" s="48">
        <f>D16+D13</f>
        <v>-12000.000000000004</v>
      </c>
      <c r="E12" s="48">
        <f>E16+E13</f>
        <v>-13000</v>
      </c>
    </row>
    <row r="13" spans="1:5" ht="47.25">
      <c r="A13" s="49" t="s">
        <v>292</v>
      </c>
      <c r="B13" s="50" t="s">
        <v>293</v>
      </c>
      <c r="C13" s="51">
        <f>C15+C14</f>
        <v>54598.6</v>
      </c>
      <c r="D13" s="51">
        <f t="shared" ref="D13:E13" si="0">D15+D14</f>
        <v>28848.3</v>
      </c>
      <c r="E13" s="51">
        <f t="shared" si="0"/>
        <v>27911.9</v>
      </c>
    </row>
    <row r="14" spans="1:5" ht="63">
      <c r="A14" s="49" t="s">
        <v>368</v>
      </c>
      <c r="B14" s="50" t="s">
        <v>369</v>
      </c>
      <c r="C14" s="51">
        <v>25000</v>
      </c>
      <c r="D14" s="51">
        <v>0</v>
      </c>
      <c r="E14" s="51">
        <v>0</v>
      </c>
    </row>
    <row r="15" spans="1:5" ht="47.25">
      <c r="A15" s="49" t="s">
        <v>313</v>
      </c>
      <c r="B15" s="50" t="s">
        <v>311</v>
      </c>
      <c r="C15" s="51">
        <v>29598.6</v>
      </c>
      <c r="D15" s="51">
        <v>28848.3</v>
      </c>
      <c r="E15" s="51">
        <v>27911.9</v>
      </c>
    </row>
    <row r="16" spans="1:5" ht="47.25" customHeight="1">
      <c r="A16" s="49" t="s">
        <v>294</v>
      </c>
      <c r="B16" s="50" t="s">
        <v>295</v>
      </c>
      <c r="C16" s="51">
        <f>C18+C17</f>
        <v>-29598.6</v>
      </c>
      <c r="D16" s="51">
        <f t="shared" ref="D16:E16" si="1">D18+D17</f>
        <v>-40848.300000000003</v>
      </c>
      <c r="E16" s="51">
        <f t="shared" si="1"/>
        <v>-40911.9</v>
      </c>
    </row>
    <row r="17" spans="1:5" ht="63">
      <c r="A17" s="49" t="s">
        <v>370</v>
      </c>
      <c r="B17" s="50" t="s">
        <v>371</v>
      </c>
      <c r="C17" s="51">
        <v>0</v>
      </c>
      <c r="D17" s="51">
        <v>-12000</v>
      </c>
      <c r="E17" s="51">
        <v>-13000</v>
      </c>
    </row>
    <row r="18" spans="1:5" ht="46.5" customHeight="1">
      <c r="A18" s="49" t="s">
        <v>314</v>
      </c>
      <c r="B18" s="50" t="s">
        <v>312</v>
      </c>
      <c r="C18" s="51">
        <v>-29598.6</v>
      </c>
      <c r="D18" s="51">
        <v>-28848.3</v>
      </c>
      <c r="E18" s="51">
        <v>-27911.9</v>
      </c>
    </row>
    <row r="19" spans="1:5" ht="31.5">
      <c r="A19" s="46" t="s">
        <v>296</v>
      </c>
      <c r="B19" s="47" t="s">
        <v>297</v>
      </c>
      <c r="C19" s="48">
        <f>C20+C23</f>
        <v>48414.29999999993</v>
      </c>
      <c r="D19" s="48">
        <f t="shared" ref="D19:E19" si="2">D20+D23</f>
        <v>0</v>
      </c>
      <c r="E19" s="48">
        <f t="shared" si="2"/>
        <v>0</v>
      </c>
    </row>
    <row r="20" spans="1:5">
      <c r="A20" s="49" t="s">
        <v>298</v>
      </c>
      <c r="B20" s="50" t="s">
        <v>299</v>
      </c>
      <c r="C20" s="51">
        <f t="shared" ref="C20:E21" si="3">C21</f>
        <v>-977612.4</v>
      </c>
      <c r="D20" s="51">
        <f t="shared" si="3"/>
        <v>-763228</v>
      </c>
      <c r="E20" s="51">
        <f t="shared" si="3"/>
        <v>-683223</v>
      </c>
    </row>
    <row r="21" spans="1:5">
      <c r="A21" s="49" t="s">
        <v>300</v>
      </c>
      <c r="B21" s="50" t="s">
        <v>301</v>
      </c>
      <c r="C21" s="51">
        <f t="shared" si="3"/>
        <v>-977612.4</v>
      </c>
      <c r="D21" s="51">
        <f t="shared" si="3"/>
        <v>-763228</v>
      </c>
      <c r="E21" s="51">
        <f t="shared" si="3"/>
        <v>-683223</v>
      </c>
    </row>
    <row r="22" spans="1:5" ht="31.5">
      <c r="A22" s="49" t="s">
        <v>302</v>
      </c>
      <c r="B22" s="50" t="s">
        <v>303</v>
      </c>
      <c r="C22" s="51">
        <f>-(923013.8+29598.6+25000)</f>
        <v>-977612.4</v>
      </c>
      <c r="D22" s="83">
        <f>-(734379.7+28848.3)</f>
        <v>-763228</v>
      </c>
      <c r="E22" s="72">
        <f>-(655311.1+27911.9)</f>
        <v>-683223</v>
      </c>
    </row>
    <row r="23" spans="1:5">
      <c r="A23" s="49" t="s">
        <v>304</v>
      </c>
      <c r="B23" s="50" t="s">
        <v>305</v>
      </c>
      <c r="C23" s="51">
        <f t="shared" ref="C23:E24" si="4">C24</f>
        <v>1026026.7</v>
      </c>
      <c r="D23" s="51">
        <f t="shared" si="4"/>
        <v>763228</v>
      </c>
      <c r="E23" s="51">
        <f t="shared" si="4"/>
        <v>683223</v>
      </c>
    </row>
    <row r="24" spans="1:5">
      <c r="A24" s="49" t="s">
        <v>306</v>
      </c>
      <c r="B24" s="50" t="s">
        <v>307</v>
      </c>
      <c r="C24" s="51">
        <f t="shared" si="4"/>
        <v>1026026.7</v>
      </c>
      <c r="D24" s="51">
        <f t="shared" si="4"/>
        <v>763228</v>
      </c>
      <c r="E24" s="51">
        <f t="shared" si="4"/>
        <v>683223</v>
      </c>
    </row>
    <row r="25" spans="1:5" ht="31.5">
      <c r="A25" s="49" t="s">
        <v>308</v>
      </c>
      <c r="B25" s="50" t="s">
        <v>309</v>
      </c>
      <c r="C25" s="51">
        <f>996428.1+29598.6</f>
        <v>1026026.7</v>
      </c>
      <c r="D25" s="72">
        <f>722379.7+28848.3+12000</f>
        <v>763228</v>
      </c>
      <c r="E25" s="72">
        <f>642311.1+27911.9+13000</f>
        <v>683223</v>
      </c>
    </row>
    <row r="26" spans="1:5">
      <c r="A26" s="205" t="s">
        <v>310</v>
      </c>
      <c r="B26" s="205"/>
      <c r="C26" s="48">
        <f>C19+C12</f>
        <v>73414.29999999993</v>
      </c>
      <c r="D26" s="48">
        <f>D19+D12</f>
        <v>-12000.000000000004</v>
      </c>
      <c r="E26" s="48">
        <f>E19+E12</f>
        <v>-13000</v>
      </c>
    </row>
    <row r="28" spans="1:5">
      <c r="A28" s="52"/>
      <c r="B28" s="53"/>
    </row>
    <row r="29" spans="1:5">
      <c r="B29" s="80"/>
    </row>
  </sheetData>
  <mergeCells count="11">
    <mergeCell ref="A26:B26"/>
    <mergeCell ref="A1:E1"/>
    <mergeCell ref="A2:E2"/>
    <mergeCell ref="A3:E3"/>
    <mergeCell ref="A5:E5"/>
    <mergeCell ref="A6:E6"/>
    <mergeCell ref="A8:A10"/>
    <mergeCell ref="B8:B10"/>
    <mergeCell ref="C8:E8"/>
    <mergeCell ref="C9:C10"/>
    <mergeCell ref="D9:E9"/>
  </mergeCells>
  <pageMargins left="0.78740157480314965" right="0.19685039370078741" top="0.19685039370078741" bottom="0.19685039370078741" header="0.51181102362204722" footer="0.51181102362204722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zoomScale="75" zoomScaleNormal="75" workbookViewId="0">
      <selection activeCell="B108" sqref="B108"/>
    </sheetView>
  </sheetViews>
  <sheetFormatPr defaultColWidth="9.140625" defaultRowHeight="15.75"/>
  <cols>
    <col min="1" max="1" width="31.7109375" style="139" bestFit="1" customWidth="1"/>
    <col min="2" max="2" width="58.7109375" style="135" customWidth="1"/>
    <col min="3" max="5" width="12.42578125" style="140" customWidth="1"/>
    <col min="6" max="6" width="13.42578125" style="138" customWidth="1"/>
    <col min="7" max="7" width="16.140625" style="138" customWidth="1"/>
    <col min="8" max="8" width="16.85546875" style="138" customWidth="1"/>
    <col min="9" max="10" width="9.140625" style="138"/>
    <col min="11" max="16384" width="9.140625" style="174"/>
  </cols>
  <sheetData>
    <row r="1" spans="1:5">
      <c r="A1" s="134"/>
      <c r="C1" s="136"/>
      <c r="D1" s="136"/>
      <c r="E1" s="137" t="s">
        <v>772</v>
      </c>
    </row>
    <row r="2" spans="1:5">
      <c r="A2" s="218" t="s">
        <v>482</v>
      </c>
      <c r="B2" s="218"/>
      <c r="C2" s="218"/>
      <c r="D2" s="218"/>
      <c r="E2" s="218"/>
    </row>
    <row r="3" spans="1:5">
      <c r="B3" s="218" t="s">
        <v>781</v>
      </c>
      <c r="C3" s="218"/>
      <c r="D3" s="218"/>
      <c r="E3" s="218"/>
    </row>
    <row r="4" spans="1:5">
      <c r="A4" s="134"/>
      <c r="B4" s="136"/>
    </row>
    <row r="5" spans="1:5" ht="60.75" customHeight="1">
      <c r="A5" s="219" t="s">
        <v>483</v>
      </c>
      <c r="B5" s="219"/>
      <c r="C5" s="219"/>
      <c r="D5" s="219"/>
      <c r="E5" s="219"/>
    </row>
    <row r="6" spans="1:5" ht="0.75" customHeight="1">
      <c r="A6" s="141"/>
      <c r="B6" s="141"/>
    </row>
    <row r="7" spans="1:5">
      <c r="A7" s="220" t="s">
        <v>484</v>
      </c>
      <c r="B7" s="221" t="s">
        <v>485</v>
      </c>
      <c r="C7" s="221" t="s">
        <v>486</v>
      </c>
      <c r="D7" s="221"/>
      <c r="E7" s="221"/>
    </row>
    <row r="8" spans="1:5">
      <c r="A8" s="220"/>
      <c r="B8" s="221"/>
      <c r="C8" s="142" t="s">
        <v>94</v>
      </c>
      <c r="D8" s="142" t="s">
        <v>107</v>
      </c>
      <c r="E8" s="142" t="s">
        <v>317</v>
      </c>
    </row>
    <row r="9" spans="1:5">
      <c r="A9" s="143" t="s">
        <v>487</v>
      </c>
      <c r="B9" s="144" t="s">
        <v>488</v>
      </c>
      <c r="C9" s="145">
        <f>C10+C25+C30+C38+C41+C55+C66+C72+C15+C62+C97</f>
        <v>377507.44</v>
      </c>
      <c r="D9" s="145">
        <f t="shared" ref="D9:E9" si="0">D10+D25+D30+D38+D41+D55+D66+D72+D15+D62+D97</f>
        <v>358779.5</v>
      </c>
      <c r="E9" s="145">
        <f t="shared" si="0"/>
        <v>347942.40000000002</v>
      </c>
    </row>
    <row r="10" spans="1:5">
      <c r="A10" s="143" t="s">
        <v>489</v>
      </c>
      <c r="B10" s="144" t="s">
        <v>490</v>
      </c>
      <c r="C10" s="145">
        <f t="shared" ref="C10:D10" si="1">C11</f>
        <v>202372</v>
      </c>
      <c r="D10" s="145">
        <f t="shared" si="1"/>
        <v>190022.7</v>
      </c>
      <c r="E10" s="145">
        <f>E11</f>
        <v>182922.90000000002</v>
      </c>
    </row>
    <row r="11" spans="1:5">
      <c r="A11" s="143" t="s">
        <v>491</v>
      </c>
      <c r="B11" s="144" t="s">
        <v>492</v>
      </c>
      <c r="C11" s="145">
        <f t="shared" ref="C11:D11" si="2">C12+C13+C14</f>
        <v>202372</v>
      </c>
      <c r="D11" s="145">
        <f t="shared" si="2"/>
        <v>190022.7</v>
      </c>
      <c r="E11" s="145">
        <f>E12+E13+E14</f>
        <v>182922.90000000002</v>
      </c>
    </row>
    <row r="12" spans="1:5" ht="78.75">
      <c r="A12" s="146" t="s">
        <v>493</v>
      </c>
      <c r="B12" s="147" t="s">
        <v>494</v>
      </c>
      <c r="C12" s="148">
        <v>196722.4</v>
      </c>
      <c r="D12" s="148">
        <v>184592.7</v>
      </c>
      <c r="E12" s="148">
        <v>177580.1</v>
      </c>
    </row>
    <row r="13" spans="1:5" ht="126">
      <c r="A13" s="146" t="s">
        <v>495</v>
      </c>
      <c r="B13" s="147" t="s">
        <v>496</v>
      </c>
      <c r="C13" s="148">
        <v>1180.4000000000001</v>
      </c>
      <c r="D13" s="148">
        <v>1134.3</v>
      </c>
      <c r="E13" s="148">
        <v>1116.2</v>
      </c>
    </row>
    <row r="14" spans="1:5" ht="47.25">
      <c r="A14" s="146" t="s">
        <v>497</v>
      </c>
      <c r="B14" s="147" t="s">
        <v>498</v>
      </c>
      <c r="C14" s="148">
        <v>4469.2</v>
      </c>
      <c r="D14" s="148">
        <v>4295.7</v>
      </c>
      <c r="E14" s="148">
        <v>4226.6000000000004</v>
      </c>
    </row>
    <row r="15" spans="1:5" ht="47.25">
      <c r="A15" s="143" t="s">
        <v>499</v>
      </c>
      <c r="B15" s="144" t="s">
        <v>500</v>
      </c>
      <c r="C15" s="145">
        <f t="shared" ref="C15:D15" si="3">C16</f>
        <v>2890.5</v>
      </c>
      <c r="D15" s="145">
        <f t="shared" si="3"/>
        <v>2850.8</v>
      </c>
      <c r="E15" s="145">
        <f>E16</f>
        <v>3199.6</v>
      </c>
    </row>
    <row r="16" spans="1:5" s="138" customFormat="1" ht="31.5">
      <c r="A16" s="143" t="s">
        <v>501</v>
      </c>
      <c r="B16" s="144" t="s">
        <v>502</v>
      </c>
      <c r="C16" s="145">
        <f>C17+C19+C21+C23</f>
        <v>2890.5</v>
      </c>
      <c r="D16" s="145">
        <f t="shared" ref="D16:E16" si="4">D17+D19+D21+D23</f>
        <v>2850.8</v>
      </c>
      <c r="E16" s="145">
        <f t="shared" si="4"/>
        <v>3199.6</v>
      </c>
    </row>
    <row r="17" spans="1:5" s="138" customFormat="1" ht="81.75" customHeight="1">
      <c r="A17" s="146" t="s">
        <v>503</v>
      </c>
      <c r="B17" s="147" t="s">
        <v>504</v>
      </c>
      <c r="C17" s="148">
        <f>C18</f>
        <v>1323.9</v>
      </c>
      <c r="D17" s="148">
        <f t="shared" ref="D17:E17" si="5">D18</f>
        <v>1033.0999999999999</v>
      </c>
      <c r="E17" s="148">
        <f t="shared" si="5"/>
        <v>1157.2</v>
      </c>
    </row>
    <row r="18" spans="1:5" s="138" customFormat="1" ht="129.75" customHeight="1">
      <c r="A18" s="146" t="s">
        <v>505</v>
      </c>
      <c r="B18" s="149" t="s">
        <v>506</v>
      </c>
      <c r="C18" s="148">
        <f>869.3+454.6</f>
        <v>1323.9</v>
      </c>
      <c r="D18" s="148">
        <v>1033.0999999999999</v>
      </c>
      <c r="E18" s="148">
        <v>1157.2</v>
      </c>
    </row>
    <row r="19" spans="1:5" s="138" customFormat="1" ht="99" customHeight="1">
      <c r="A19" s="150" t="s">
        <v>507</v>
      </c>
      <c r="B19" s="149" t="s">
        <v>508</v>
      </c>
      <c r="C19" s="148">
        <f>C20</f>
        <v>9</v>
      </c>
      <c r="D19" s="148">
        <f t="shared" ref="D19:E19" si="6">D20</f>
        <v>6.8</v>
      </c>
      <c r="E19" s="148">
        <f t="shared" si="6"/>
        <v>7.4</v>
      </c>
    </row>
    <row r="20" spans="1:5" s="138" customFormat="1" ht="144.75" customHeight="1">
      <c r="A20" s="146" t="s">
        <v>509</v>
      </c>
      <c r="B20" s="151" t="s">
        <v>510</v>
      </c>
      <c r="C20" s="148">
        <f>6+3</f>
        <v>9</v>
      </c>
      <c r="D20" s="148">
        <v>6.8</v>
      </c>
      <c r="E20" s="148">
        <v>7.4</v>
      </c>
    </row>
    <row r="21" spans="1:5" s="138" customFormat="1" ht="80.25" customHeight="1">
      <c r="A21" s="146" t="s">
        <v>511</v>
      </c>
      <c r="B21" s="151" t="s">
        <v>512</v>
      </c>
      <c r="C21" s="148">
        <f>C22</f>
        <v>1745.8999999999999</v>
      </c>
      <c r="D21" s="148">
        <f t="shared" ref="D21:E21" si="7">D22</f>
        <v>2003.1</v>
      </c>
      <c r="E21" s="148">
        <f t="shared" si="7"/>
        <v>2244.6</v>
      </c>
    </row>
    <row r="22" spans="1:5" s="138" customFormat="1" ht="127.5" customHeight="1">
      <c r="A22" s="146" t="s">
        <v>513</v>
      </c>
      <c r="B22" s="151" t="s">
        <v>514</v>
      </c>
      <c r="C22" s="148">
        <f>1683.3+62.6</f>
        <v>1745.8999999999999</v>
      </c>
      <c r="D22" s="148">
        <v>2003.1</v>
      </c>
      <c r="E22" s="148">
        <v>2244.6</v>
      </c>
    </row>
    <row r="23" spans="1:5" s="138" customFormat="1" ht="81.75" customHeight="1">
      <c r="A23" s="146" t="s">
        <v>515</v>
      </c>
      <c r="B23" s="151" t="s">
        <v>516</v>
      </c>
      <c r="C23" s="148">
        <f>C24</f>
        <v>-188.3</v>
      </c>
      <c r="D23" s="148">
        <f t="shared" ref="D23:E23" si="8">D24</f>
        <v>-192.2</v>
      </c>
      <c r="E23" s="148">
        <f t="shared" si="8"/>
        <v>-209.6</v>
      </c>
    </row>
    <row r="24" spans="1:5" s="138" customFormat="1" ht="130.5" customHeight="1">
      <c r="A24" s="146" t="s">
        <v>517</v>
      </c>
      <c r="B24" s="149" t="s">
        <v>518</v>
      </c>
      <c r="C24" s="148">
        <f>-158-30.3</f>
        <v>-188.3</v>
      </c>
      <c r="D24" s="148">
        <v>-192.2</v>
      </c>
      <c r="E24" s="148">
        <v>-209.6</v>
      </c>
    </row>
    <row r="25" spans="1:5" s="138" customFormat="1">
      <c r="A25" s="143" t="s">
        <v>519</v>
      </c>
      <c r="B25" s="144" t="s">
        <v>520</v>
      </c>
      <c r="C25" s="145">
        <f t="shared" ref="C25:E25" si="9">C26+C28</f>
        <v>35789.199999999997</v>
      </c>
      <c r="D25" s="145">
        <f t="shared" si="9"/>
        <v>39167</v>
      </c>
      <c r="E25" s="145">
        <f t="shared" si="9"/>
        <v>35122</v>
      </c>
    </row>
    <row r="26" spans="1:5" s="138" customFormat="1" ht="31.5">
      <c r="A26" s="143" t="s">
        <v>521</v>
      </c>
      <c r="B26" s="144" t="s">
        <v>522</v>
      </c>
      <c r="C26" s="145">
        <f t="shared" ref="C26:D26" si="10">C27</f>
        <v>28281.200000000001</v>
      </c>
      <c r="D26" s="145">
        <f t="shared" si="10"/>
        <v>30672</v>
      </c>
      <c r="E26" s="145">
        <f>E27</f>
        <v>7668</v>
      </c>
    </row>
    <row r="27" spans="1:5" s="138" customFormat="1" ht="31.5">
      <c r="A27" s="146" t="s">
        <v>523</v>
      </c>
      <c r="B27" s="147" t="s">
        <v>522</v>
      </c>
      <c r="C27" s="148">
        <f>28804-522.8</f>
        <v>28281.200000000001</v>
      </c>
      <c r="D27" s="152">
        <v>30672</v>
      </c>
      <c r="E27" s="152">
        <v>7668</v>
      </c>
    </row>
    <row r="28" spans="1:5" s="138" customFormat="1" ht="31.5">
      <c r="A28" s="143" t="s">
        <v>524</v>
      </c>
      <c r="B28" s="144" t="s">
        <v>525</v>
      </c>
      <c r="C28" s="145">
        <f t="shared" ref="C28:D28" si="11">C29</f>
        <v>7508</v>
      </c>
      <c r="D28" s="145">
        <f t="shared" si="11"/>
        <v>8495</v>
      </c>
      <c r="E28" s="145">
        <f>E29</f>
        <v>27454</v>
      </c>
    </row>
    <row r="29" spans="1:5" s="138" customFormat="1" ht="47.25">
      <c r="A29" s="146" t="s">
        <v>526</v>
      </c>
      <c r="B29" s="147" t="s">
        <v>527</v>
      </c>
      <c r="C29" s="153">
        <v>7508</v>
      </c>
      <c r="D29" s="154">
        <v>8495</v>
      </c>
      <c r="E29" s="154">
        <v>27454</v>
      </c>
    </row>
    <row r="30" spans="1:5" s="138" customFormat="1">
      <c r="A30" s="143" t="s">
        <v>528</v>
      </c>
      <c r="B30" s="144" t="s">
        <v>529</v>
      </c>
      <c r="C30" s="145">
        <f t="shared" ref="C30:D30" si="12">C31+C33</f>
        <v>64618</v>
      </c>
      <c r="D30" s="145">
        <f t="shared" si="12"/>
        <v>67387</v>
      </c>
      <c r="E30" s="145">
        <f>E31+E33</f>
        <v>69320</v>
      </c>
    </row>
    <row r="31" spans="1:5" s="138" customFormat="1">
      <c r="A31" s="143" t="s">
        <v>530</v>
      </c>
      <c r="B31" s="144" t="s">
        <v>531</v>
      </c>
      <c r="C31" s="145">
        <f t="shared" ref="C31:D31" si="13">C32</f>
        <v>16039</v>
      </c>
      <c r="D31" s="145">
        <f t="shared" si="13"/>
        <v>17642</v>
      </c>
      <c r="E31" s="145">
        <f>E32</f>
        <v>19407</v>
      </c>
    </row>
    <row r="32" spans="1:5" s="138" customFormat="1" ht="47.25">
      <c r="A32" s="146" t="s">
        <v>532</v>
      </c>
      <c r="B32" s="147" t="s">
        <v>533</v>
      </c>
      <c r="C32" s="155">
        <v>16039</v>
      </c>
      <c r="D32" s="155">
        <v>17642</v>
      </c>
      <c r="E32" s="155">
        <v>19407</v>
      </c>
    </row>
    <row r="33" spans="1:5" s="138" customFormat="1">
      <c r="A33" s="143" t="s">
        <v>534</v>
      </c>
      <c r="B33" s="144" t="s">
        <v>535</v>
      </c>
      <c r="C33" s="145">
        <f t="shared" ref="C33:D33" si="14">C34+C36</f>
        <v>48579</v>
      </c>
      <c r="D33" s="145">
        <f t="shared" si="14"/>
        <v>49745</v>
      </c>
      <c r="E33" s="145">
        <f>E34+E36</f>
        <v>49913</v>
      </c>
    </row>
    <row r="34" spans="1:5" s="138" customFormat="1">
      <c r="A34" s="146" t="s">
        <v>536</v>
      </c>
      <c r="B34" s="147" t="s">
        <v>537</v>
      </c>
      <c r="C34" s="148">
        <f t="shared" ref="C34:D34" si="15">C35</f>
        <v>40623</v>
      </c>
      <c r="D34" s="148">
        <f t="shared" si="15"/>
        <v>41789</v>
      </c>
      <c r="E34" s="148">
        <f>E35</f>
        <v>41957</v>
      </c>
    </row>
    <row r="35" spans="1:5" s="138" customFormat="1" ht="31.5">
      <c r="A35" s="146" t="s">
        <v>538</v>
      </c>
      <c r="B35" s="147" t="s">
        <v>539</v>
      </c>
      <c r="C35" s="155">
        <f>41623-1000</f>
        <v>40623</v>
      </c>
      <c r="D35" s="155">
        <v>41789</v>
      </c>
      <c r="E35" s="155">
        <v>41957</v>
      </c>
    </row>
    <row r="36" spans="1:5" s="138" customFormat="1">
      <c r="A36" s="146" t="s">
        <v>540</v>
      </c>
      <c r="B36" s="147" t="s">
        <v>541</v>
      </c>
      <c r="C36" s="148">
        <f t="shared" ref="C36:D36" si="16">C37</f>
        <v>7956</v>
      </c>
      <c r="D36" s="148">
        <f t="shared" si="16"/>
        <v>7956</v>
      </c>
      <c r="E36" s="148">
        <f>E37</f>
        <v>7956</v>
      </c>
    </row>
    <row r="37" spans="1:5" s="138" customFormat="1" ht="34.9" customHeight="1">
      <c r="A37" s="146" t="s">
        <v>542</v>
      </c>
      <c r="B37" s="147" t="s">
        <v>543</v>
      </c>
      <c r="C37" s="155">
        <f>8396-440</f>
        <v>7956</v>
      </c>
      <c r="D37" s="155">
        <f t="shared" ref="D37:E37" si="17">8396-440</f>
        <v>7956</v>
      </c>
      <c r="E37" s="155">
        <f t="shared" si="17"/>
        <v>7956</v>
      </c>
    </row>
    <row r="38" spans="1:5" s="138" customFormat="1">
      <c r="A38" s="143" t="s">
        <v>544</v>
      </c>
      <c r="B38" s="144" t="s">
        <v>545</v>
      </c>
      <c r="C38" s="145">
        <f>C39</f>
        <v>3822</v>
      </c>
      <c r="D38" s="145">
        <f t="shared" ref="D38:E38" si="18">D39</f>
        <v>3822</v>
      </c>
      <c r="E38" s="145">
        <f t="shared" si="18"/>
        <v>3822</v>
      </c>
    </row>
    <row r="39" spans="1:5" s="138" customFormat="1" ht="34.9" customHeight="1">
      <c r="A39" s="143" t="s">
        <v>546</v>
      </c>
      <c r="B39" s="144" t="s">
        <v>547</v>
      </c>
      <c r="C39" s="145">
        <f t="shared" ref="C39:D39" si="19">C40</f>
        <v>3822</v>
      </c>
      <c r="D39" s="145">
        <f t="shared" si="19"/>
        <v>3822</v>
      </c>
      <c r="E39" s="145">
        <f>E40</f>
        <v>3822</v>
      </c>
    </row>
    <row r="40" spans="1:5" s="138" customFormat="1" ht="47.25">
      <c r="A40" s="146" t="s">
        <v>548</v>
      </c>
      <c r="B40" s="147" t="s">
        <v>549</v>
      </c>
      <c r="C40" s="155">
        <v>3822</v>
      </c>
      <c r="D40" s="155">
        <v>3822</v>
      </c>
      <c r="E40" s="155">
        <v>3822</v>
      </c>
    </row>
    <row r="41" spans="1:5" s="138" customFormat="1" ht="47.25">
      <c r="A41" s="143" t="s">
        <v>550</v>
      </c>
      <c r="B41" s="144" t="s">
        <v>551</v>
      </c>
      <c r="C41" s="145">
        <f t="shared" ref="C41:D41" si="20">C42+C49+C52</f>
        <v>29926.100000000002</v>
      </c>
      <c r="D41" s="145">
        <f t="shared" si="20"/>
        <v>29252.600000000002</v>
      </c>
      <c r="E41" s="145">
        <f>E42+E49+E52</f>
        <v>28543.200000000004</v>
      </c>
    </row>
    <row r="42" spans="1:5" s="138" customFormat="1" ht="110.25">
      <c r="A42" s="143" t="s">
        <v>552</v>
      </c>
      <c r="B42" s="144" t="s">
        <v>553</v>
      </c>
      <c r="C42" s="145">
        <f t="shared" ref="C42:D42" si="21">C43+C45+C47</f>
        <v>28467.300000000003</v>
      </c>
      <c r="D42" s="145">
        <f t="shared" si="21"/>
        <v>27884.800000000003</v>
      </c>
      <c r="E42" s="145">
        <f>E43+E45+E47</f>
        <v>27266.300000000003</v>
      </c>
    </row>
    <row r="43" spans="1:5" s="138" customFormat="1" ht="78.75">
      <c r="A43" s="146" t="s">
        <v>554</v>
      </c>
      <c r="B43" s="147" t="s">
        <v>555</v>
      </c>
      <c r="C43" s="148">
        <f t="shared" ref="C43:D43" si="22">C44</f>
        <v>11903.1</v>
      </c>
      <c r="D43" s="148">
        <f t="shared" si="22"/>
        <v>11320.6</v>
      </c>
      <c r="E43" s="148">
        <f>E44</f>
        <v>10702.1</v>
      </c>
    </row>
    <row r="44" spans="1:5" s="138" customFormat="1" ht="94.5">
      <c r="A44" s="146" t="s">
        <v>556</v>
      </c>
      <c r="B44" s="147" t="s">
        <v>557</v>
      </c>
      <c r="C44" s="148">
        <v>11903.1</v>
      </c>
      <c r="D44" s="148">
        <v>11320.6</v>
      </c>
      <c r="E44" s="148">
        <v>10702.1</v>
      </c>
    </row>
    <row r="45" spans="1:5" s="138" customFormat="1" ht="94.5">
      <c r="A45" s="146" t="s">
        <v>558</v>
      </c>
      <c r="B45" s="147" t="s">
        <v>559</v>
      </c>
      <c r="C45" s="155">
        <f t="shared" ref="C45:E45" si="23">C46</f>
        <v>2050.8000000000002</v>
      </c>
      <c r="D45" s="155">
        <f t="shared" si="23"/>
        <v>2050.8000000000002</v>
      </c>
      <c r="E45" s="155">
        <f t="shared" si="23"/>
        <v>2050.8000000000002</v>
      </c>
    </row>
    <row r="46" spans="1:5" s="138" customFormat="1" ht="78.75">
      <c r="A46" s="146" t="s">
        <v>560</v>
      </c>
      <c r="B46" s="147" t="s">
        <v>561</v>
      </c>
      <c r="C46" s="155">
        <v>2050.8000000000002</v>
      </c>
      <c r="D46" s="155">
        <v>2050.8000000000002</v>
      </c>
      <c r="E46" s="155">
        <v>2050.8000000000002</v>
      </c>
    </row>
    <row r="47" spans="1:5" s="138" customFormat="1" ht="47.25">
      <c r="A47" s="146" t="s">
        <v>562</v>
      </c>
      <c r="B47" s="147" t="s">
        <v>563</v>
      </c>
      <c r="C47" s="148">
        <f t="shared" ref="C47:D47" si="24">C48</f>
        <v>14513.4</v>
      </c>
      <c r="D47" s="148">
        <f t="shared" si="24"/>
        <v>14513.4</v>
      </c>
      <c r="E47" s="148">
        <f>E48</f>
        <v>14513.4</v>
      </c>
    </row>
    <row r="48" spans="1:5" s="138" customFormat="1" ht="51" customHeight="1">
      <c r="A48" s="146" t="s">
        <v>564</v>
      </c>
      <c r="B48" s="147" t="s">
        <v>565</v>
      </c>
      <c r="C48" s="148">
        <v>14513.4</v>
      </c>
      <c r="D48" s="148">
        <v>14513.4</v>
      </c>
      <c r="E48" s="148">
        <v>14513.4</v>
      </c>
    </row>
    <row r="49" spans="1:5" s="138" customFormat="1" ht="31.5">
      <c r="A49" s="143" t="s">
        <v>566</v>
      </c>
      <c r="B49" s="144" t="s">
        <v>567</v>
      </c>
      <c r="C49" s="145">
        <f t="shared" ref="C49:D50" si="25">C50</f>
        <v>116</v>
      </c>
      <c r="D49" s="145">
        <f t="shared" si="25"/>
        <v>116</v>
      </c>
      <c r="E49" s="145">
        <f>E50</f>
        <v>116</v>
      </c>
    </row>
    <row r="50" spans="1:5" s="138" customFormat="1" ht="51.75" customHeight="1">
      <c r="A50" s="146" t="s">
        <v>568</v>
      </c>
      <c r="B50" s="147" t="s">
        <v>569</v>
      </c>
      <c r="C50" s="148">
        <f t="shared" si="25"/>
        <v>116</v>
      </c>
      <c r="D50" s="148">
        <f t="shared" si="25"/>
        <v>116</v>
      </c>
      <c r="E50" s="148">
        <f>E51</f>
        <v>116</v>
      </c>
    </row>
    <row r="51" spans="1:5" s="138" customFormat="1" ht="63">
      <c r="A51" s="146" t="s">
        <v>570</v>
      </c>
      <c r="B51" s="147" t="s">
        <v>571</v>
      </c>
      <c r="C51" s="148">
        <v>116</v>
      </c>
      <c r="D51" s="148">
        <v>116</v>
      </c>
      <c r="E51" s="148">
        <v>116</v>
      </c>
    </row>
    <row r="52" spans="1:5" s="138" customFormat="1" ht="100.15" customHeight="1">
      <c r="A52" s="143" t="s">
        <v>572</v>
      </c>
      <c r="B52" s="144" t="s">
        <v>573</v>
      </c>
      <c r="C52" s="145">
        <f t="shared" ref="C52:D53" si="26">C53</f>
        <v>1342.8000000000002</v>
      </c>
      <c r="D52" s="145">
        <f t="shared" si="26"/>
        <v>1251.8</v>
      </c>
      <c r="E52" s="145">
        <f>E53</f>
        <v>1160.9000000000001</v>
      </c>
    </row>
    <row r="53" spans="1:5" s="138" customFormat="1" ht="94.5">
      <c r="A53" s="146" t="s">
        <v>574</v>
      </c>
      <c r="B53" s="147" t="s">
        <v>575</v>
      </c>
      <c r="C53" s="148">
        <f t="shared" si="26"/>
        <v>1342.8000000000002</v>
      </c>
      <c r="D53" s="148">
        <f t="shared" si="26"/>
        <v>1251.8</v>
      </c>
      <c r="E53" s="148">
        <f>E54</f>
        <v>1160.9000000000001</v>
      </c>
    </row>
    <row r="54" spans="1:5" s="138" customFormat="1" ht="99" customHeight="1">
      <c r="A54" s="146" t="s">
        <v>576</v>
      </c>
      <c r="B54" s="147" t="s">
        <v>577</v>
      </c>
      <c r="C54" s="148">
        <f>936.5+1342.8-936.5</f>
        <v>1342.8000000000002</v>
      </c>
      <c r="D54" s="148">
        <f>675.5+1251.8-675.5</f>
        <v>1251.8</v>
      </c>
      <c r="E54" s="148">
        <f>0+1160.9</f>
        <v>1160.9000000000001</v>
      </c>
    </row>
    <row r="55" spans="1:5" s="138" customFormat="1" ht="31.5">
      <c r="A55" s="143" t="s">
        <v>578</v>
      </c>
      <c r="B55" s="144" t="s">
        <v>579</v>
      </c>
      <c r="C55" s="145">
        <f t="shared" ref="C55:D55" si="27">C56</f>
        <v>894.34</v>
      </c>
      <c r="D55" s="145">
        <f t="shared" si="27"/>
        <v>931.30000000000007</v>
      </c>
      <c r="E55" s="145">
        <f>E56</f>
        <v>971.7</v>
      </c>
    </row>
    <row r="56" spans="1:5" s="138" customFormat="1" ht="31.5">
      <c r="A56" s="143" t="s">
        <v>580</v>
      </c>
      <c r="B56" s="144" t="s">
        <v>581</v>
      </c>
      <c r="C56" s="145">
        <f>SUM(C57:C59)</f>
        <v>894.34</v>
      </c>
      <c r="D56" s="145">
        <f>SUM(D57:D59)</f>
        <v>931.30000000000007</v>
      </c>
      <c r="E56" s="145">
        <f>SUM(E57:E59)</f>
        <v>971.7</v>
      </c>
    </row>
    <row r="57" spans="1:5" s="138" customFormat="1" ht="31.5">
      <c r="A57" s="156" t="s">
        <v>582</v>
      </c>
      <c r="B57" s="147" t="s">
        <v>583</v>
      </c>
      <c r="C57" s="148">
        <v>547.14</v>
      </c>
      <c r="D57" s="148">
        <v>570.1</v>
      </c>
      <c r="E57" s="148">
        <v>590.6</v>
      </c>
    </row>
    <row r="58" spans="1:5" s="138" customFormat="1" ht="17.25" customHeight="1">
      <c r="A58" s="156" t="s">
        <v>584</v>
      </c>
      <c r="B58" s="147" t="s">
        <v>585</v>
      </c>
      <c r="C58" s="148">
        <v>311.10000000000002</v>
      </c>
      <c r="D58" s="148">
        <v>324.10000000000002</v>
      </c>
      <c r="E58" s="148">
        <v>335.8</v>
      </c>
    </row>
    <row r="59" spans="1:5" s="138" customFormat="1" ht="15.75" customHeight="1">
      <c r="A59" s="156" t="s">
        <v>586</v>
      </c>
      <c r="B59" s="147" t="s">
        <v>587</v>
      </c>
      <c r="C59" s="148">
        <f>C60+C61</f>
        <v>36.099999999999994</v>
      </c>
      <c r="D59" s="148">
        <f t="shared" ref="D59:E59" si="28">D60+D61</f>
        <v>37.1</v>
      </c>
      <c r="E59" s="148">
        <f t="shared" si="28"/>
        <v>45.3</v>
      </c>
    </row>
    <row r="60" spans="1:5" s="138" customFormat="1">
      <c r="A60" s="156" t="s">
        <v>588</v>
      </c>
      <c r="B60" s="147" t="s">
        <v>589</v>
      </c>
      <c r="C60" s="148">
        <v>13.7</v>
      </c>
      <c r="D60" s="148">
        <v>14.3</v>
      </c>
      <c r="E60" s="148">
        <v>14.8</v>
      </c>
    </row>
    <row r="61" spans="1:5" s="138" customFormat="1">
      <c r="A61" s="156" t="s">
        <v>590</v>
      </c>
      <c r="B61" s="147" t="s">
        <v>591</v>
      </c>
      <c r="C61" s="148">
        <v>22.4</v>
      </c>
      <c r="D61" s="148">
        <v>22.8</v>
      </c>
      <c r="E61" s="148">
        <v>30.5</v>
      </c>
    </row>
    <row r="62" spans="1:5" s="138" customFormat="1" ht="31.5">
      <c r="A62" s="142" t="s">
        <v>592</v>
      </c>
      <c r="B62" s="144" t="s">
        <v>593</v>
      </c>
      <c r="C62" s="145">
        <f>C63</f>
        <v>3407.7</v>
      </c>
      <c r="D62" s="145">
        <f t="shared" ref="D62:E64" si="29">D63</f>
        <v>0</v>
      </c>
      <c r="E62" s="145">
        <f t="shared" si="29"/>
        <v>0</v>
      </c>
    </row>
    <row r="63" spans="1:5" s="138" customFormat="1">
      <c r="A63" s="142" t="s">
        <v>594</v>
      </c>
      <c r="B63" s="144" t="s">
        <v>595</v>
      </c>
      <c r="C63" s="145">
        <f>C64</f>
        <v>3407.7</v>
      </c>
      <c r="D63" s="145">
        <f t="shared" si="29"/>
        <v>0</v>
      </c>
      <c r="E63" s="145">
        <f t="shared" si="29"/>
        <v>0</v>
      </c>
    </row>
    <row r="64" spans="1:5" s="138" customFormat="1">
      <c r="A64" s="156" t="s">
        <v>596</v>
      </c>
      <c r="B64" s="147" t="s">
        <v>597</v>
      </c>
      <c r="C64" s="148">
        <f>C65</f>
        <v>3407.7</v>
      </c>
      <c r="D64" s="148">
        <f t="shared" si="29"/>
        <v>0</v>
      </c>
      <c r="E64" s="148">
        <f t="shared" si="29"/>
        <v>0</v>
      </c>
    </row>
    <row r="65" spans="1:5" s="138" customFormat="1" ht="31.5">
      <c r="A65" s="156" t="s">
        <v>598</v>
      </c>
      <c r="B65" s="147" t="s">
        <v>599</v>
      </c>
      <c r="C65" s="148">
        <v>3407.7</v>
      </c>
      <c r="D65" s="148">
        <v>0</v>
      </c>
      <c r="E65" s="148">
        <v>0</v>
      </c>
    </row>
    <row r="66" spans="1:5" s="138" customFormat="1" ht="31.5">
      <c r="A66" s="143" t="s">
        <v>600</v>
      </c>
      <c r="B66" s="144" t="s">
        <v>601</v>
      </c>
      <c r="C66" s="145">
        <f>C67+C70</f>
        <v>26935.8</v>
      </c>
      <c r="D66" s="145">
        <f t="shared" ref="D66:E66" si="30">D67+D70</f>
        <v>19530.2</v>
      </c>
      <c r="E66" s="145">
        <f t="shared" si="30"/>
        <v>19025</v>
      </c>
    </row>
    <row r="67" spans="1:5" s="138" customFormat="1" ht="38.25" customHeight="1">
      <c r="A67" s="143" t="s">
        <v>602</v>
      </c>
      <c r="B67" s="144" t="s">
        <v>603</v>
      </c>
      <c r="C67" s="145">
        <f>C68</f>
        <v>2574.3000000000002</v>
      </c>
      <c r="D67" s="145">
        <f t="shared" ref="D67:E67" si="31">D68</f>
        <v>1712.8</v>
      </c>
      <c r="E67" s="145">
        <f t="shared" si="31"/>
        <v>1446.2</v>
      </c>
    </row>
    <row r="68" spans="1:5" s="138" customFormat="1" ht="34.5" customHeight="1">
      <c r="A68" s="146" t="s">
        <v>604</v>
      </c>
      <c r="B68" s="147" t="s">
        <v>605</v>
      </c>
      <c r="C68" s="148">
        <f t="shared" ref="C68:D68" si="32">C69</f>
        <v>2574.3000000000002</v>
      </c>
      <c r="D68" s="148">
        <f t="shared" si="32"/>
        <v>1712.8</v>
      </c>
      <c r="E68" s="148">
        <f>E69</f>
        <v>1446.2</v>
      </c>
    </row>
    <row r="69" spans="1:5" s="138" customFormat="1" ht="49.5" customHeight="1">
      <c r="A69" s="146" t="s">
        <v>606</v>
      </c>
      <c r="B69" s="147" t="s">
        <v>607</v>
      </c>
      <c r="C69" s="148">
        <v>2574.3000000000002</v>
      </c>
      <c r="D69" s="148">
        <v>1712.8</v>
      </c>
      <c r="E69" s="148">
        <v>1446.2</v>
      </c>
    </row>
    <row r="70" spans="1:5" s="138" customFormat="1" ht="31.5">
      <c r="A70" s="143" t="s">
        <v>608</v>
      </c>
      <c r="B70" s="144" t="s">
        <v>609</v>
      </c>
      <c r="C70" s="145">
        <f>C71</f>
        <v>24361.5</v>
      </c>
      <c r="D70" s="145">
        <f t="shared" ref="D70:E70" si="33">D71</f>
        <v>17817.400000000001</v>
      </c>
      <c r="E70" s="145">
        <f t="shared" si="33"/>
        <v>17578.8</v>
      </c>
    </row>
    <row r="71" spans="1:5" s="138" customFormat="1" ht="47.25">
      <c r="A71" s="146" t="s">
        <v>610</v>
      </c>
      <c r="B71" s="147" t="s">
        <v>611</v>
      </c>
      <c r="C71" s="148">
        <v>24361.5</v>
      </c>
      <c r="D71" s="148">
        <v>17817.400000000001</v>
      </c>
      <c r="E71" s="148">
        <v>17578.8</v>
      </c>
    </row>
    <row r="72" spans="1:5" s="138" customFormat="1">
      <c r="A72" s="143" t="s">
        <v>612</v>
      </c>
      <c r="B72" s="144" t="s">
        <v>613</v>
      </c>
      <c r="C72" s="145">
        <f>C73+C80+C85+C90+C93+C95+C76+C77+C86+C92</f>
        <v>5915.2999999999993</v>
      </c>
      <c r="D72" s="145">
        <f>D73+D80+D85+D90+D93+D95+D76+D77+D86+D92</f>
        <v>5140.3999999999996</v>
      </c>
      <c r="E72" s="145">
        <f>E73+E80+E85+E90+E93+E95+E76+E77+E86+E92</f>
        <v>5016</v>
      </c>
    </row>
    <row r="73" spans="1:5" s="138" customFormat="1" ht="31.5">
      <c r="A73" s="143" t="s">
        <v>614</v>
      </c>
      <c r="B73" s="144" t="s">
        <v>615</v>
      </c>
      <c r="C73" s="145">
        <f t="shared" ref="C73:D73" si="34">C74+C75</f>
        <v>145</v>
      </c>
      <c r="D73" s="145">
        <f t="shared" si="34"/>
        <v>149</v>
      </c>
      <c r="E73" s="145">
        <f>E74+E75</f>
        <v>153</v>
      </c>
    </row>
    <row r="74" spans="1:5" s="138" customFormat="1" ht="98.25" customHeight="1">
      <c r="A74" s="146" t="s">
        <v>616</v>
      </c>
      <c r="B74" s="147" t="s">
        <v>617</v>
      </c>
      <c r="C74" s="148">
        <v>135</v>
      </c>
      <c r="D74" s="148">
        <v>140</v>
      </c>
      <c r="E74" s="148">
        <v>145</v>
      </c>
    </row>
    <row r="75" spans="1:5" s="138" customFormat="1" ht="63">
      <c r="A75" s="146" t="s">
        <v>618</v>
      </c>
      <c r="B75" s="147" t="s">
        <v>619</v>
      </c>
      <c r="C75" s="148">
        <v>10</v>
      </c>
      <c r="D75" s="148">
        <v>9</v>
      </c>
      <c r="E75" s="148">
        <v>8</v>
      </c>
    </row>
    <row r="76" spans="1:5" s="138" customFormat="1" ht="78.75">
      <c r="A76" s="142" t="s">
        <v>620</v>
      </c>
      <c r="B76" s="144" t="s">
        <v>621</v>
      </c>
      <c r="C76" s="145">
        <v>57</v>
      </c>
      <c r="D76" s="145">
        <v>59</v>
      </c>
      <c r="E76" s="145">
        <v>61</v>
      </c>
    </row>
    <row r="77" spans="1:5" s="138" customFormat="1" ht="78.75">
      <c r="A77" s="142" t="s">
        <v>622</v>
      </c>
      <c r="B77" s="144" t="s">
        <v>623</v>
      </c>
      <c r="C77" s="145">
        <f>C78+C79</f>
        <v>143.5</v>
      </c>
      <c r="D77" s="145">
        <f t="shared" ref="D77:E77" si="35">D78+D79</f>
        <v>143.5</v>
      </c>
      <c r="E77" s="145">
        <f t="shared" si="35"/>
        <v>143.5</v>
      </c>
    </row>
    <row r="78" spans="1:5" s="138" customFormat="1" ht="63">
      <c r="A78" s="156" t="s">
        <v>624</v>
      </c>
      <c r="B78" s="147" t="s">
        <v>625</v>
      </c>
      <c r="C78" s="148">
        <v>120</v>
      </c>
      <c r="D78" s="148">
        <v>120</v>
      </c>
      <c r="E78" s="148">
        <v>120</v>
      </c>
    </row>
    <row r="79" spans="1:5" s="138" customFormat="1" ht="63.75" customHeight="1">
      <c r="A79" s="156" t="s">
        <v>626</v>
      </c>
      <c r="B79" s="149" t="s">
        <v>627</v>
      </c>
      <c r="C79" s="148">
        <v>23.5</v>
      </c>
      <c r="D79" s="148">
        <v>23.5</v>
      </c>
      <c r="E79" s="148">
        <v>23.5</v>
      </c>
    </row>
    <row r="80" spans="1:5" s="138" customFormat="1" ht="132.6" customHeight="1">
      <c r="A80" s="143" t="s">
        <v>628</v>
      </c>
      <c r="B80" s="144" t="s">
        <v>629</v>
      </c>
      <c r="C80" s="145">
        <f>C82+C81+C83</f>
        <v>345</v>
      </c>
      <c r="D80" s="145">
        <f t="shared" ref="D80:E80" si="36">D82+D81+D83</f>
        <v>354</v>
      </c>
      <c r="E80" s="145">
        <f t="shared" si="36"/>
        <v>317</v>
      </c>
    </row>
    <row r="81" spans="1:5" s="138" customFormat="1" ht="31.5">
      <c r="A81" s="146" t="s">
        <v>630</v>
      </c>
      <c r="B81" s="147" t="s">
        <v>631</v>
      </c>
      <c r="C81" s="148">
        <v>130</v>
      </c>
      <c r="D81" s="148">
        <v>130</v>
      </c>
      <c r="E81" s="148">
        <v>130</v>
      </c>
    </row>
    <row r="82" spans="1:5" s="138" customFormat="1" ht="31.5">
      <c r="A82" s="146" t="s">
        <v>632</v>
      </c>
      <c r="B82" s="147" t="s">
        <v>633</v>
      </c>
      <c r="C82" s="148">
        <v>185</v>
      </c>
      <c r="D82" s="148">
        <v>224</v>
      </c>
      <c r="E82" s="148">
        <v>187</v>
      </c>
    </row>
    <row r="83" spans="1:5" s="138" customFormat="1" ht="31.5">
      <c r="A83" s="146" t="s">
        <v>634</v>
      </c>
      <c r="B83" s="147" t="s">
        <v>635</v>
      </c>
      <c r="C83" s="148">
        <f>C84</f>
        <v>30</v>
      </c>
      <c r="D83" s="148">
        <f t="shared" ref="D83:E83" si="37">D84</f>
        <v>0</v>
      </c>
      <c r="E83" s="148">
        <f t="shared" si="37"/>
        <v>0</v>
      </c>
    </row>
    <row r="84" spans="1:5" s="138" customFormat="1" ht="47.25">
      <c r="A84" s="146" t="s">
        <v>636</v>
      </c>
      <c r="B84" s="147" t="s">
        <v>637</v>
      </c>
      <c r="C84" s="148">
        <v>30</v>
      </c>
      <c r="D84" s="148">
        <v>0</v>
      </c>
      <c r="E84" s="148">
        <v>0</v>
      </c>
    </row>
    <row r="85" spans="1:5" s="138" customFormat="1" ht="63">
      <c r="A85" s="143" t="s">
        <v>638</v>
      </c>
      <c r="B85" s="144" t="s">
        <v>639</v>
      </c>
      <c r="C85" s="145">
        <f>1040+9.7</f>
        <v>1049.7</v>
      </c>
      <c r="D85" s="145">
        <v>1040</v>
      </c>
      <c r="E85" s="145">
        <v>1040</v>
      </c>
    </row>
    <row r="86" spans="1:5" s="138" customFormat="1" ht="31.5">
      <c r="A86" s="143" t="s">
        <v>640</v>
      </c>
      <c r="B86" s="144" t="s">
        <v>641</v>
      </c>
      <c r="C86" s="145">
        <f>C89+C87</f>
        <v>86</v>
      </c>
      <c r="D86" s="145">
        <f t="shared" ref="D86:E86" si="38">D89+D87</f>
        <v>71</v>
      </c>
      <c r="E86" s="145">
        <f t="shared" si="38"/>
        <v>71</v>
      </c>
    </row>
    <row r="87" spans="1:5" s="138" customFormat="1" ht="47.25">
      <c r="A87" s="146" t="s">
        <v>642</v>
      </c>
      <c r="B87" s="147" t="s">
        <v>643</v>
      </c>
      <c r="C87" s="148">
        <f>C88</f>
        <v>15</v>
      </c>
      <c r="D87" s="148">
        <f t="shared" ref="D87:E87" si="39">D88</f>
        <v>0</v>
      </c>
      <c r="E87" s="148">
        <f t="shared" si="39"/>
        <v>0</v>
      </c>
    </row>
    <row r="88" spans="1:5" s="138" customFormat="1" ht="63">
      <c r="A88" s="146" t="s">
        <v>644</v>
      </c>
      <c r="B88" s="147" t="s">
        <v>645</v>
      </c>
      <c r="C88" s="148">
        <v>15</v>
      </c>
      <c r="D88" s="148">
        <v>0</v>
      </c>
      <c r="E88" s="148">
        <v>0</v>
      </c>
    </row>
    <row r="89" spans="1:5" s="138" customFormat="1" ht="31.5">
      <c r="A89" s="150" t="s">
        <v>646</v>
      </c>
      <c r="B89" s="147" t="s">
        <v>647</v>
      </c>
      <c r="C89" s="148">
        <v>71</v>
      </c>
      <c r="D89" s="148">
        <v>71</v>
      </c>
      <c r="E89" s="148">
        <v>71</v>
      </c>
    </row>
    <row r="90" spans="1:5" s="138" customFormat="1" ht="63.75" customHeight="1">
      <c r="A90" s="143" t="s">
        <v>648</v>
      </c>
      <c r="B90" s="144" t="s">
        <v>649</v>
      </c>
      <c r="C90" s="145">
        <f t="shared" ref="C90:D90" si="40">C91</f>
        <v>1480.7</v>
      </c>
      <c r="D90" s="145">
        <f t="shared" si="40"/>
        <v>1480.7</v>
      </c>
      <c r="E90" s="145">
        <f>E91</f>
        <v>1480.7</v>
      </c>
    </row>
    <row r="91" spans="1:5" s="138" customFormat="1" ht="78.75">
      <c r="A91" s="157" t="s">
        <v>650</v>
      </c>
      <c r="B91" s="147" t="s">
        <v>651</v>
      </c>
      <c r="C91" s="148">
        <v>1480.7</v>
      </c>
      <c r="D91" s="148">
        <v>1480.7</v>
      </c>
      <c r="E91" s="148">
        <v>1480.7</v>
      </c>
    </row>
    <row r="92" spans="1:5" s="138" customFormat="1" ht="78.75">
      <c r="A92" s="158" t="s">
        <v>652</v>
      </c>
      <c r="B92" s="144" t="s">
        <v>653</v>
      </c>
      <c r="C92" s="145">
        <f>91.9+1</f>
        <v>92.9</v>
      </c>
      <c r="D92" s="145">
        <v>91.5</v>
      </c>
      <c r="E92" s="145">
        <v>91.7</v>
      </c>
    </row>
    <row r="93" spans="1:5" s="138" customFormat="1" ht="47.25">
      <c r="A93" s="142" t="s">
        <v>654</v>
      </c>
      <c r="B93" s="144" t="s">
        <v>655</v>
      </c>
      <c r="C93" s="145">
        <f t="shared" ref="C93:D93" si="41">C94</f>
        <v>23.3</v>
      </c>
      <c r="D93" s="145">
        <f t="shared" si="41"/>
        <v>23.3</v>
      </c>
      <c r="E93" s="145">
        <f>E94</f>
        <v>23.3</v>
      </c>
    </row>
    <row r="94" spans="1:5" s="138" customFormat="1" ht="63">
      <c r="A94" s="156" t="s">
        <v>656</v>
      </c>
      <c r="B94" s="147" t="s">
        <v>657</v>
      </c>
      <c r="C94" s="148">
        <v>23.3</v>
      </c>
      <c r="D94" s="148">
        <v>23.3</v>
      </c>
      <c r="E94" s="148">
        <v>23.3</v>
      </c>
    </row>
    <row r="95" spans="1:5" s="138" customFormat="1" ht="31.5">
      <c r="A95" s="143" t="s">
        <v>658</v>
      </c>
      <c r="B95" s="144" t="s">
        <v>659</v>
      </c>
      <c r="C95" s="145">
        <f t="shared" ref="C95:D95" si="42">C96</f>
        <v>2492.1999999999998</v>
      </c>
      <c r="D95" s="145">
        <f t="shared" si="42"/>
        <v>1728.4</v>
      </c>
      <c r="E95" s="145">
        <f>E96</f>
        <v>1634.8</v>
      </c>
    </row>
    <row r="96" spans="1:5" s="138" customFormat="1" ht="47.25">
      <c r="A96" s="146" t="s">
        <v>660</v>
      </c>
      <c r="B96" s="147" t="s">
        <v>661</v>
      </c>
      <c r="C96" s="148">
        <f>1488+127+877.2</f>
        <v>2492.1999999999998</v>
      </c>
      <c r="D96" s="148">
        <f>1559.4+169</f>
        <v>1728.4</v>
      </c>
      <c r="E96" s="148">
        <f>1504.8+130</f>
        <v>1634.8</v>
      </c>
    </row>
    <row r="97" spans="1:8" s="138" customFormat="1">
      <c r="A97" s="143" t="s">
        <v>662</v>
      </c>
      <c r="B97" s="144" t="s">
        <v>663</v>
      </c>
      <c r="C97" s="145">
        <f>C98</f>
        <v>936.5</v>
      </c>
      <c r="D97" s="145">
        <f t="shared" ref="D97:E98" si="43">D98</f>
        <v>675.5</v>
      </c>
      <c r="E97" s="145">
        <f t="shared" si="43"/>
        <v>0</v>
      </c>
    </row>
    <row r="98" spans="1:8" s="138" customFormat="1">
      <c r="A98" s="143" t="s">
        <v>664</v>
      </c>
      <c r="B98" s="144" t="s">
        <v>665</v>
      </c>
      <c r="C98" s="145">
        <f>C99</f>
        <v>936.5</v>
      </c>
      <c r="D98" s="145">
        <f t="shared" si="43"/>
        <v>675.5</v>
      </c>
      <c r="E98" s="145">
        <f t="shared" si="43"/>
        <v>0</v>
      </c>
    </row>
    <row r="99" spans="1:8" s="138" customFormat="1" ht="17.25" customHeight="1">
      <c r="A99" s="146" t="s">
        <v>666</v>
      </c>
      <c r="B99" s="147" t="s">
        <v>667</v>
      </c>
      <c r="C99" s="148">
        <v>936.5</v>
      </c>
      <c r="D99" s="148">
        <v>675.5</v>
      </c>
      <c r="E99" s="148">
        <v>0</v>
      </c>
    </row>
    <row r="100" spans="1:8" s="138" customFormat="1">
      <c r="A100" s="143" t="s">
        <v>668</v>
      </c>
      <c r="B100" s="144" t="s">
        <v>669</v>
      </c>
      <c r="C100" s="145">
        <f>C101+C153+C156+C159</f>
        <v>545506.4</v>
      </c>
      <c r="D100" s="145">
        <f t="shared" ref="D100:E100" si="44">D101</f>
        <v>375600.19999999995</v>
      </c>
      <c r="E100" s="145">
        <f t="shared" si="44"/>
        <v>307368.7</v>
      </c>
      <c r="F100" s="159"/>
      <c r="G100" s="159"/>
      <c r="H100" s="159"/>
    </row>
    <row r="101" spans="1:8" s="138" customFormat="1" ht="47.25">
      <c r="A101" s="160" t="s">
        <v>670</v>
      </c>
      <c r="B101" s="161" t="s">
        <v>671</v>
      </c>
      <c r="C101" s="145">
        <f>C134+C105+C150+C102</f>
        <v>548306.29999999993</v>
      </c>
      <c r="D101" s="145">
        <f t="shared" ref="D101:E101" si="45">D134+D105+D150+D102</f>
        <v>375600.19999999995</v>
      </c>
      <c r="E101" s="145">
        <f t="shared" si="45"/>
        <v>307368.7</v>
      </c>
      <c r="G101" s="162"/>
    </row>
    <row r="102" spans="1:8" s="138" customFormat="1" ht="31.5">
      <c r="A102" s="160" t="s">
        <v>672</v>
      </c>
      <c r="B102" s="161" t="s">
        <v>673</v>
      </c>
      <c r="C102" s="145">
        <f>C103</f>
        <v>11212</v>
      </c>
      <c r="D102" s="145">
        <f t="shared" ref="D102:E103" si="46">D103</f>
        <v>0</v>
      </c>
      <c r="E102" s="145">
        <f t="shared" si="46"/>
        <v>0</v>
      </c>
      <c r="G102" s="162"/>
    </row>
    <row r="103" spans="1:8" s="138" customFormat="1" ht="31.5">
      <c r="A103" s="163" t="s">
        <v>674</v>
      </c>
      <c r="B103" s="164" t="s">
        <v>675</v>
      </c>
      <c r="C103" s="148">
        <f>C104</f>
        <v>11212</v>
      </c>
      <c r="D103" s="148">
        <f t="shared" si="46"/>
        <v>0</v>
      </c>
      <c r="E103" s="148">
        <f t="shared" si="46"/>
        <v>0</v>
      </c>
      <c r="G103" s="162"/>
    </row>
    <row r="104" spans="1:8" s="138" customFormat="1" ht="31.5">
      <c r="A104" s="163" t="s">
        <v>676</v>
      </c>
      <c r="B104" s="164" t="s">
        <v>677</v>
      </c>
      <c r="C104" s="148">
        <f>1289+9923</f>
        <v>11212</v>
      </c>
      <c r="D104" s="148">
        <v>0</v>
      </c>
      <c r="E104" s="148">
        <v>0</v>
      </c>
      <c r="G104" s="162"/>
    </row>
    <row r="105" spans="1:8" s="138" customFormat="1" ht="37.5" customHeight="1">
      <c r="A105" s="165" t="s">
        <v>678</v>
      </c>
      <c r="B105" s="166" t="s">
        <v>679</v>
      </c>
      <c r="C105" s="145">
        <f>C110+C112+C122+C106+C116+C114+C118+C120</f>
        <v>223140.59999999998</v>
      </c>
      <c r="D105" s="145">
        <f t="shared" ref="D105:E105" si="47">D110+D112+D122+D106+D116+D114+D118+D120</f>
        <v>73182.5</v>
      </c>
      <c r="E105" s="145">
        <f t="shared" si="47"/>
        <v>0</v>
      </c>
    </row>
    <row r="106" spans="1:8" s="138" customFormat="1" ht="101.25" customHeight="1">
      <c r="A106" s="167" t="s">
        <v>680</v>
      </c>
      <c r="B106" s="168" t="s">
        <v>681</v>
      </c>
      <c r="C106" s="148">
        <f>C107+C108+C109</f>
        <v>101033.49999999997</v>
      </c>
      <c r="D106" s="148">
        <f>D107+D108+D109</f>
        <v>0</v>
      </c>
      <c r="E106" s="148">
        <f>E107+E108+E109</f>
        <v>0</v>
      </c>
    </row>
    <row r="107" spans="1:8" s="138" customFormat="1" ht="47.25">
      <c r="A107" s="167" t="s">
        <v>682</v>
      </c>
      <c r="B107" s="164" t="s">
        <v>788</v>
      </c>
      <c r="C107" s="148">
        <f>195900.3-11353.2-91881.8</f>
        <v>92665.299999999974</v>
      </c>
      <c r="D107" s="148">
        <v>0</v>
      </c>
      <c r="E107" s="148">
        <v>0</v>
      </c>
    </row>
    <row r="108" spans="1:8" s="138" customFormat="1" ht="56.25" customHeight="1">
      <c r="A108" s="167" t="s">
        <v>682</v>
      </c>
      <c r="B108" s="164" t="s">
        <v>683</v>
      </c>
      <c r="C108" s="148">
        <v>5726.2</v>
      </c>
      <c r="D108" s="148">
        <v>0</v>
      </c>
      <c r="E108" s="148">
        <v>0</v>
      </c>
    </row>
    <row r="109" spans="1:8" s="138" customFormat="1" ht="63">
      <c r="A109" s="167" t="s">
        <v>682</v>
      </c>
      <c r="B109" s="164" t="s">
        <v>684</v>
      </c>
      <c r="C109" s="148">
        <v>2642</v>
      </c>
      <c r="D109" s="148">
        <v>0</v>
      </c>
      <c r="E109" s="148">
        <v>0</v>
      </c>
    </row>
    <row r="110" spans="1:8" s="138" customFormat="1" ht="81" customHeight="1">
      <c r="A110" s="167" t="s">
        <v>685</v>
      </c>
      <c r="B110" s="169" t="s">
        <v>686</v>
      </c>
      <c r="C110" s="148">
        <f>C111</f>
        <v>0</v>
      </c>
      <c r="D110" s="148">
        <f>D111</f>
        <v>35614</v>
      </c>
      <c r="E110" s="148">
        <f>E111</f>
        <v>0</v>
      </c>
    </row>
    <row r="111" spans="1:8" s="138" customFormat="1" ht="82.5" customHeight="1">
      <c r="A111" s="167" t="s">
        <v>687</v>
      </c>
      <c r="B111" s="169" t="s">
        <v>688</v>
      </c>
      <c r="C111" s="148">
        <v>0</v>
      </c>
      <c r="D111" s="148">
        <v>35614</v>
      </c>
      <c r="E111" s="148">
        <v>0</v>
      </c>
    </row>
    <row r="112" spans="1:8" s="138" customFormat="1" ht="78.75">
      <c r="A112" s="163" t="s">
        <v>689</v>
      </c>
      <c r="B112" s="164" t="s">
        <v>690</v>
      </c>
      <c r="C112" s="148">
        <f>C113</f>
        <v>37499.5</v>
      </c>
      <c r="D112" s="148">
        <f t="shared" ref="D112:E112" si="48">D113</f>
        <v>37568.5</v>
      </c>
      <c r="E112" s="148">
        <f t="shared" si="48"/>
        <v>0</v>
      </c>
    </row>
    <row r="113" spans="1:5" s="138" customFormat="1" ht="81.75" customHeight="1">
      <c r="A113" s="163" t="s">
        <v>691</v>
      </c>
      <c r="B113" s="169" t="s">
        <v>692</v>
      </c>
      <c r="C113" s="148">
        <v>37499.5</v>
      </c>
      <c r="D113" s="148">
        <v>37568.5</v>
      </c>
      <c r="E113" s="148">
        <v>0</v>
      </c>
    </row>
    <row r="114" spans="1:5" s="138" customFormat="1" ht="52.5" customHeight="1">
      <c r="A114" s="163" t="s">
        <v>693</v>
      </c>
      <c r="B114" s="169" t="s">
        <v>694</v>
      </c>
      <c r="C114" s="148">
        <f>C115</f>
        <v>356.6</v>
      </c>
      <c r="D114" s="148">
        <f t="shared" ref="D114:E114" si="49">D115</f>
        <v>0</v>
      </c>
      <c r="E114" s="148">
        <f t="shared" si="49"/>
        <v>0</v>
      </c>
    </row>
    <row r="115" spans="1:5" s="138" customFormat="1" ht="66.75" customHeight="1">
      <c r="A115" s="163" t="s">
        <v>695</v>
      </c>
      <c r="B115" s="169" t="s">
        <v>696</v>
      </c>
      <c r="C115" s="148">
        <v>356.6</v>
      </c>
      <c r="D115" s="148">
        <v>0</v>
      </c>
      <c r="E115" s="148">
        <v>0</v>
      </c>
    </row>
    <row r="116" spans="1:5" s="138" customFormat="1" ht="33" customHeight="1">
      <c r="A116" s="163" t="s">
        <v>697</v>
      </c>
      <c r="B116" s="169" t="s">
        <v>698</v>
      </c>
      <c r="C116" s="148">
        <f>C117</f>
        <v>6319.4</v>
      </c>
      <c r="D116" s="148">
        <f t="shared" ref="D116:E116" si="50">D117</f>
        <v>0</v>
      </c>
      <c r="E116" s="148">
        <f t="shared" si="50"/>
        <v>0</v>
      </c>
    </row>
    <row r="117" spans="1:5" s="138" customFormat="1" ht="36.75" customHeight="1">
      <c r="A117" s="163" t="s">
        <v>699</v>
      </c>
      <c r="B117" s="169" t="s">
        <v>700</v>
      </c>
      <c r="C117" s="148">
        <v>6319.4</v>
      </c>
      <c r="D117" s="148">
        <v>0</v>
      </c>
      <c r="E117" s="148">
        <v>0</v>
      </c>
    </row>
    <row r="118" spans="1:5" s="138" customFormat="1" ht="36.75" customHeight="1">
      <c r="A118" s="163" t="s">
        <v>701</v>
      </c>
      <c r="B118" s="169" t="s">
        <v>702</v>
      </c>
      <c r="C118" s="148">
        <f>C119</f>
        <v>13338.7</v>
      </c>
      <c r="D118" s="148">
        <f t="shared" ref="D118:E118" si="51">D119</f>
        <v>0</v>
      </c>
      <c r="E118" s="148">
        <f t="shared" si="51"/>
        <v>0</v>
      </c>
    </row>
    <row r="119" spans="1:5" s="138" customFormat="1" ht="31.5" customHeight="1">
      <c r="A119" s="163" t="s">
        <v>703</v>
      </c>
      <c r="B119" s="169" t="s">
        <v>704</v>
      </c>
      <c r="C119" s="148">
        <v>13338.7</v>
      </c>
      <c r="D119" s="148">
        <v>0</v>
      </c>
      <c r="E119" s="148">
        <v>0</v>
      </c>
    </row>
    <row r="120" spans="1:5" s="138" customFormat="1" ht="31.5" customHeight="1">
      <c r="A120" s="195" t="s">
        <v>774</v>
      </c>
      <c r="B120" s="196" t="s">
        <v>775</v>
      </c>
      <c r="C120" s="197">
        <f>C121</f>
        <v>244.4</v>
      </c>
      <c r="D120" s="197">
        <f t="shared" ref="D120:E120" si="52">D121</f>
        <v>0</v>
      </c>
      <c r="E120" s="197">
        <f t="shared" si="52"/>
        <v>0</v>
      </c>
    </row>
    <row r="121" spans="1:5" s="138" customFormat="1" ht="31.5" customHeight="1">
      <c r="A121" s="195" t="s">
        <v>776</v>
      </c>
      <c r="B121" s="196" t="s">
        <v>777</v>
      </c>
      <c r="C121" s="197">
        <v>244.4</v>
      </c>
      <c r="D121" s="197">
        <v>0</v>
      </c>
      <c r="E121" s="197">
        <v>0</v>
      </c>
    </row>
    <row r="122" spans="1:5" s="138" customFormat="1" ht="19.5" customHeight="1">
      <c r="A122" s="170" t="s">
        <v>705</v>
      </c>
      <c r="B122" s="171" t="s">
        <v>706</v>
      </c>
      <c r="C122" s="148">
        <f>C123+C124+C125+C126+C128+C129+C130+C132+C127+C131+C133</f>
        <v>64348.5</v>
      </c>
      <c r="D122" s="148">
        <f t="shared" ref="D122:E122" si="53">D123</f>
        <v>0</v>
      </c>
      <c r="E122" s="148">
        <f t="shared" si="53"/>
        <v>0</v>
      </c>
    </row>
    <row r="123" spans="1:5" s="138" customFormat="1" ht="47.25">
      <c r="A123" s="167" t="s">
        <v>707</v>
      </c>
      <c r="B123" s="164" t="s">
        <v>708</v>
      </c>
      <c r="C123" s="148">
        <v>4135.8</v>
      </c>
      <c r="D123" s="148">
        <v>0</v>
      </c>
      <c r="E123" s="148">
        <v>0</v>
      </c>
    </row>
    <row r="124" spans="1:5" s="138" customFormat="1" ht="39" customHeight="1">
      <c r="A124" s="167" t="s">
        <v>707</v>
      </c>
      <c r="B124" s="164" t="s">
        <v>709</v>
      </c>
      <c r="C124" s="148">
        <f>105.7+26.5</f>
        <v>132.19999999999999</v>
      </c>
      <c r="D124" s="148">
        <v>0</v>
      </c>
      <c r="E124" s="148">
        <v>0</v>
      </c>
    </row>
    <row r="125" spans="1:5" s="138" customFormat="1" ht="31.5">
      <c r="A125" s="167" t="s">
        <v>707</v>
      </c>
      <c r="B125" s="164" t="s">
        <v>710</v>
      </c>
      <c r="C125" s="148">
        <v>3209.7</v>
      </c>
      <c r="D125" s="148">
        <v>0</v>
      </c>
      <c r="E125" s="148">
        <v>0</v>
      </c>
    </row>
    <row r="126" spans="1:5" s="138" customFormat="1" ht="47.25">
      <c r="A126" s="167" t="s">
        <v>707</v>
      </c>
      <c r="B126" s="164" t="s">
        <v>711</v>
      </c>
      <c r="C126" s="148">
        <f>1531.6+16392.1-349.8</f>
        <v>17573.899999999998</v>
      </c>
      <c r="D126" s="148">
        <v>0</v>
      </c>
      <c r="E126" s="148">
        <v>0</v>
      </c>
    </row>
    <row r="127" spans="1:5" s="138" customFormat="1" ht="35.25" customHeight="1">
      <c r="A127" s="167" t="s">
        <v>707</v>
      </c>
      <c r="B127" s="164" t="s">
        <v>712</v>
      </c>
      <c r="C127" s="148">
        <f>1836.8-417.3</f>
        <v>1419.5</v>
      </c>
      <c r="D127" s="148">
        <v>0</v>
      </c>
      <c r="E127" s="148">
        <v>0</v>
      </c>
    </row>
    <row r="128" spans="1:5" s="138" customFormat="1" ht="31.5">
      <c r="A128" s="167" t="s">
        <v>707</v>
      </c>
      <c r="B128" s="164" t="s">
        <v>713</v>
      </c>
      <c r="C128" s="148">
        <v>109.7</v>
      </c>
      <c r="D128" s="148">
        <v>0</v>
      </c>
      <c r="E128" s="148">
        <v>0</v>
      </c>
    </row>
    <row r="129" spans="1:10" s="138" customFormat="1" ht="31.5">
      <c r="A129" s="167" t="s">
        <v>707</v>
      </c>
      <c r="B129" s="164" t="s">
        <v>714</v>
      </c>
      <c r="C129" s="148">
        <f>6991.7+4630.7</f>
        <v>11622.4</v>
      </c>
      <c r="D129" s="148">
        <v>0</v>
      </c>
      <c r="E129" s="148">
        <v>0</v>
      </c>
    </row>
    <row r="130" spans="1:10" s="138" customFormat="1" ht="31.5">
      <c r="A130" s="167" t="s">
        <v>707</v>
      </c>
      <c r="B130" s="172" t="s">
        <v>715</v>
      </c>
      <c r="C130" s="148">
        <v>459.3</v>
      </c>
      <c r="D130" s="148">
        <v>0</v>
      </c>
      <c r="E130" s="148">
        <v>0</v>
      </c>
    </row>
    <row r="131" spans="1:10" s="138" customFormat="1" ht="47.25">
      <c r="A131" s="11" t="s">
        <v>716</v>
      </c>
      <c r="B131" s="173" t="s">
        <v>717</v>
      </c>
      <c r="C131" s="148">
        <f>1427.3-324.1</f>
        <v>1103.1999999999998</v>
      </c>
      <c r="D131" s="148">
        <v>0</v>
      </c>
      <c r="E131" s="148">
        <v>0</v>
      </c>
    </row>
    <row r="132" spans="1:10" s="138" customFormat="1" ht="47.25">
      <c r="A132" s="167" t="s">
        <v>707</v>
      </c>
      <c r="B132" s="164" t="s">
        <v>718</v>
      </c>
      <c r="C132" s="148">
        <f>7345.3+1058.2</f>
        <v>8403.5</v>
      </c>
      <c r="D132" s="148">
        <v>0</v>
      </c>
      <c r="E132" s="148">
        <v>0</v>
      </c>
    </row>
    <row r="133" spans="1:10" s="138" customFormat="1" ht="63">
      <c r="A133" s="167" t="s">
        <v>707</v>
      </c>
      <c r="B133" s="164" t="s">
        <v>719</v>
      </c>
      <c r="C133" s="148">
        <v>16179.3</v>
      </c>
      <c r="D133" s="148">
        <v>0</v>
      </c>
      <c r="E133" s="148">
        <v>0</v>
      </c>
    </row>
    <row r="134" spans="1:10" s="138" customFormat="1" ht="31.5">
      <c r="A134" s="160" t="s">
        <v>720</v>
      </c>
      <c r="B134" s="161" t="s">
        <v>721</v>
      </c>
      <c r="C134" s="145">
        <f>C141+C143+C135+C139+C137</f>
        <v>313111.59999999992</v>
      </c>
      <c r="D134" s="145">
        <f t="shared" ref="D134:E134" si="54">D141+D143+D135+D139+D137</f>
        <v>302417.69999999995</v>
      </c>
      <c r="E134" s="145">
        <f t="shared" si="54"/>
        <v>307368.7</v>
      </c>
      <c r="F134" s="162"/>
      <c r="G134" s="162"/>
      <c r="H134" s="162"/>
    </row>
    <row r="135" spans="1:10" s="138" customFormat="1" ht="78.75">
      <c r="A135" s="146" t="s">
        <v>722</v>
      </c>
      <c r="B135" s="164" t="s">
        <v>723</v>
      </c>
      <c r="C135" s="148">
        <f t="shared" ref="C135:D135" si="55">C136</f>
        <v>10970.6</v>
      </c>
      <c r="D135" s="148">
        <f t="shared" si="55"/>
        <v>10970.6</v>
      </c>
      <c r="E135" s="148">
        <f>E136</f>
        <v>10970.6</v>
      </c>
    </row>
    <row r="136" spans="1:10" s="138" customFormat="1" ht="94.5">
      <c r="A136" s="163" t="s">
        <v>724</v>
      </c>
      <c r="B136" s="164" t="s">
        <v>725</v>
      </c>
      <c r="C136" s="148">
        <v>10970.6</v>
      </c>
      <c r="D136" s="148">
        <v>10970.6</v>
      </c>
      <c r="E136" s="148">
        <v>10970.6</v>
      </c>
    </row>
    <row r="137" spans="1:10" s="138" customFormat="1" ht="63.75" customHeight="1">
      <c r="A137" s="163" t="s">
        <v>726</v>
      </c>
      <c r="B137" s="169" t="s">
        <v>727</v>
      </c>
      <c r="C137" s="148">
        <f>C138</f>
        <v>1957.6</v>
      </c>
      <c r="D137" s="148">
        <f t="shared" ref="D137:E137" si="56">D138</f>
        <v>0</v>
      </c>
      <c r="E137" s="148">
        <f t="shared" si="56"/>
        <v>0</v>
      </c>
    </row>
    <row r="138" spans="1:10" s="138" customFormat="1" ht="63.75" customHeight="1">
      <c r="A138" s="163" t="s">
        <v>728</v>
      </c>
      <c r="B138" s="169" t="s">
        <v>729</v>
      </c>
      <c r="C138" s="148">
        <v>1957.6</v>
      </c>
      <c r="D138" s="148">
        <v>0</v>
      </c>
      <c r="E138" s="148">
        <v>0</v>
      </c>
    </row>
    <row r="139" spans="1:10" s="138" customFormat="1" ht="63">
      <c r="A139" s="146" t="s">
        <v>730</v>
      </c>
      <c r="B139" s="164" t="s">
        <v>731</v>
      </c>
      <c r="C139" s="148">
        <f t="shared" ref="C139:E139" si="57">C140</f>
        <v>28.6</v>
      </c>
      <c r="D139" s="148">
        <f t="shared" si="57"/>
        <v>29.9</v>
      </c>
      <c r="E139" s="148">
        <f t="shared" si="57"/>
        <v>30.9</v>
      </c>
    </row>
    <row r="140" spans="1:10" s="138" customFormat="1" ht="69" customHeight="1">
      <c r="A140" s="146" t="s">
        <v>732</v>
      </c>
      <c r="B140" s="164" t="s">
        <v>733</v>
      </c>
      <c r="C140" s="148">
        <v>28.6</v>
      </c>
      <c r="D140" s="148">
        <v>29.9</v>
      </c>
      <c r="E140" s="148">
        <v>30.9</v>
      </c>
    </row>
    <row r="141" spans="1:10" s="138" customFormat="1" ht="31.5">
      <c r="A141" s="146" t="s">
        <v>734</v>
      </c>
      <c r="B141" s="164" t="s">
        <v>735</v>
      </c>
      <c r="C141" s="148">
        <f t="shared" ref="C141:D141" si="58">C142</f>
        <v>1892.4</v>
      </c>
      <c r="D141" s="148">
        <f t="shared" si="58"/>
        <v>1381.2</v>
      </c>
      <c r="E141" s="148">
        <f>E142</f>
        <v>1433.4</v>
      </c>
    </row>
    <row r="142" spans="1:10" ht="47.25" customHeight="1">
      <c r="A142" s="146" t="s">
        <v>736</v>
      </c>
      <c r="B142" s="164" t="s">
        <v>737</v>
      </c>
      <c r="C142" s="148">
        <f>1326.5+565.9</f>
        <v>1892.4</v>
      </c>
      <c r="D142" s="148">
        <v>1381.2</v>
      </c>
      <c r="E142" s="148">
        <v>1433.4</v>
      </c>
    </row>
    <row r="143" spans="1:10" s="176" customFormat="1">
      <c r="A143" s="146" t="s">
        <v>738</v>
      </c>
      <c r="B143" s="164" t="s">
        <v>739</v>
      </c>
      <c r="C143" s="148">
        <f>SUM(C144:C149)</f>
        <v>298262.39999999997</v>
      </c>
      <c r="D143" s="148">
        <f>SUM(D144:D149)</f>
        <v>290035.99999999994</v>
      </c>
      <c r="E143" s="148">
        <f>SUM(E144:E149)</f>
        <v>294933.8</v>
      </c>
      <c r="F143" s="175"/>
      <c r="G143" s="175"/>
      <c r="H143" s="175"/>
      <c r="I143" s="175"/>
      <c r="J143" s="175"/>
    </row>
    <row r="144" spans="1:10" ht="110.25">
      <c r="A144" s="146" t="s">
        <v>740</v>
      </c>
      <c r="B144" s="164" t="s">
        <v>741</v>
      </c>
      <c r="C144" s="148">
        <v>187624</v>
      </c>
      <c r="D144" s="148">
        <v>187633</v>
      </c>
      <c r="E144" s="148">
        <v>187633</v>
      </c>
    </row>
    <row r="145" spans="1:6" ht="63">
      <c r="A145" s="146" t="s">
        <v>740</v>
      </c>
      <c r="B145" s="164" t="s">
        <v>742</v>
      </c>
      <c r="C145" s="148">
        <f>93267+9227.2+2933.1</f>
        <v>105427.3</v>
      </c>
      <c r="D145" s="148">
        <v>93267</v>
      </c>
      <c r="E145" s="148">
        <v>93267</v>
      </c>
    </row>
    <row r="146" spans="1:6" ht="63">
      <c r="A146" s="146" t="s">
        <v>740</v>
      </c>
      <c r="B146" s="164" t="s">
        <v>743</v>
      </c>
      <c r="C146" s="148">
        <v>656.6</v>
      </c>
      <c r="D146" s="148">
        <v>656.6</v>
      </c>
      <c r="E146" s="148">
        <v>656.6</v>
      </c>
    </row>
    <row r="147" spans="1:6" ht="78.75">
      <c r="A147" s="146" t="s">
        <v>740</v>
      </c>
      <c r="B147" s="164" t="s">
        <v>744</v>
      </c>
      <c r="C147" s="148">
        <v>264</v>
      </c>
      <c r="D147" s="148">
        <v>264</v>
      </c>
      <c r="E147" s="148">
        <v>264</v>
      </c>
    </row>
    <row r="148" spans="1:6" ht="95.25" customHeight="1">
      <c r="A148" s="146" t="s">
        <v>740</v>
      </c>
      <c r="B148" s="164" t="s">
        <v>745</v>
      </c>
      <c r="C148" s="148">
        <v>3915.1</v>
      </c>
      <c r="D148" s="148">
        <v>7830.1</v>
      </c>
      <c r="E148" s="148">
        <v>12723.9</v>
      </c>
      <c r="F148" s="162"/>
    </row>
    <row r="149" spans="1:6" ht="126">
      <c r="A149" s="146" t="s">
        <v>740</v>
      </c>
      <c r="B149" s="164" t="s">
        <v>746</v>
      </c>
      <c r="C149" s="148">
        <v>375.4</v>
      </c>
      <c r="D149" s="148">
        <v>385.3</v>
      </c>
      <c r="E149" s="148">
        <v>389.3</v>
      </c>
    </row>
    <row r="150" spans="1:6">
      <c r="A150" s="177" t="s">
        <v>747</v>
      </c>
      <c r="B150" s="178" t="s">
        <v>748</v>
      </c>
      <c r="C150" s="179">
        <f t="shared" ref="C150:E151" si="59">C151</f>
        <v>842.1</v>
      </c>
      <c r="D150" s="179">
        <f t="shared" si="59"/>
        <v>0</v>
      </c>
      <c r="E150" s="179">
        <f t="shared" si="59"/>
        <v>0</v>
      </c>
    </row>
    <row r="151" spans="1:6" ht="31.5">
      <c r="A151" s="180" t="s">
        <v>749</v>
      </c>
      <c r="B151" s="181" t="s">
        <v>750</v>
      </c>
      <c r="C151" s="182">
        <f t="shared" si="59"/>
        <v>842.1</v>
      </c>
      <c r="D151" s="182">
        <f t="shared" si="59"/>
        <v>0</v>
      </c>
      <c r="E151" s="182">
        <f t="shared" si="59"/>
        <v>0</v>
      </c>
    </row>
    <row r="152" spans="1:6" ht="78.75">
      <c r="A152" s="180" t="s">
        <v>751</v>
      </c>
      <c r="B152" s="181" t="s">
        <v>752</v>
      </c>
      <c r="C152" s="182">
        <f>642.1+200</f>
        <v>842.1</v>
      </c>
      <c r="D152" s="148">
        <v>0</v>
      </c>
      <c r="E152" s="148">
        <v>0</v>
      </c>
    </row>
    <row r="153" spans="1:6" ht="31.5">
      <c r="A153" s="143" t="s">
        <v>753</v>
      </c>
      <c r="B153" s="161" t="s">
        <v>754</v>
      </c>
      <c r="C153" s="145">
        <f t="shared" ref="C153:E154" si="60">C154</f>
        <v>79.3</v>
      </c>
      <c r="D153" s="145">
        <f t="shared" si="60"/>
        <v>0</v>
      </c>
      <c r="E153" s="145">
        <f t="shared" si="60"/>
        <v>0</v>
      </c>
    </row>
    <row r="154" spans="1:6" ht="31.5">
      <c r="A154" s="180" t="s">
        <v>755</v>
      </c>
      <c r="B154" s="181" t="s">
        <v>756</v>
      </c>
      <c r="C154" s="148">
        <f t="shared" si="60"/>
        <v>79.3</v>
      </c>
      <c r="D154" s="148">
        <f t="shared" si="60"/>
        <v>0</v>
      </c>
      <c r="E154" s="148">
        <f t="shared" si="60"/>
        <v>0</v>
      </c>
    </row>
    <row r="155" spans="1:6" ht="54" customHeight="1">
      <c r="A155" s="146" t="s">
        <v>757</v>
      </c>
      <c r="B155" s="164" t="s">
        <v>758</v>
      </c>
      <c r="C155" s="148">
        <v>79.3</v>
      </c>
      <c r="D155" s="148">
        <v>0</v>
      </c>
      <c r="E155" s="148">
        <v>0</v>
      </c>
    </row>
    <row r="156" spans="1:6">
      <c r="A156" s="183" t="s">
        <v>759</v>
      </c>
      <c r="B156" s="184" t="s">
        <v>760</v>
      </c>
      <c r="C156" s="185">
        <f t="shared" ref="C156:E157" si="61">C157</f>
        <v>428.5</v>
      </c>
      <c r="D156" s="185">
        <f t="shared" si="61"/>
        <v>0</v>
      </c>
      <c r="E156" s="185">
        <f t="shared" si="61"/>
        <v>0</v>
      </c>
    </row>
    <row r="157" spans="1:6" ht="31.5">
      <c r="A157" s="186" t="s">
        <v>761</v>
      </c>
      <c r="B157" s="187" t="s">
        <v>762</v>
      </c>
      <c r="C157" s="188">
        <f t="shared" si="61"/>
        <v>428.5</v>
      </c>
      <c r="D157" s="188">
        <f t="shared" si="61"/>
        <v>0</v>
      </c>
      <c r="E157" s="188">
        <f t="shared" si="61"/>
        <v>0</v>
      </c>
    </row>
    <row r="158" spans="1:6" s="138" customFormat="1" ht="47.25">
      <c r="A158" s="186" t="s">
        <v>763</v>
      </c>
      <c r="B158" s="187" t="s">
        <v>764</v>
      </c>
      <c r="C158" s="188">
        <v>428.5</v>
      </c>
      <c r="D158" s="148">
        <v>0</v>
      </c>
      <c r="E158" s="148">
        <v>0</v>
      </c>
    </row>
    <row r="159" spans="1:6" s="138" customFormat="1" ht="63">
      <c r="A159" s="183" t="s">
        <v>765</v>
      </c>
      <c r="B159" s="184" t="s">
        <v>766</v>
      </c>
      <c r="C159" s="185">
        <f>C160</f>
        <v>-3307.7</v>
      </c>
      <c r="D159" s="185">
        <f t="shared" ref="D159:E160" si="62">D160</f>
        <v>0</v>
      </c>
      <c r="E159" s="185">
        <f t="shared" si="62"/>
        <v>0</v>
      </c>
    </row>
    <row r="160" spans="1:6" s="138" customFormat="1" ht="47.25">
      <c r="A160" s="183" t="s">
        <v>767</v>
      </c>
      <c r="B160" s="184" t="s">
        <v>768</v>
      </c>
      <c r="C160" s="185">
        <f>C161</f>
        <v>-3307.7</v>
      </c>
      <c r="D160" s="185">
        <f t="shared" si="62"/>
        <v>0</v>
      </c>
      <c r="E160" s="185">
        <f t="shared" si="62"/>
        <v>0</v>
      </c>
    </row>
    <row r="161" spans="1:5" s="138" customFormat="1" ht="51" customHeight="1">
      <c r="A161" s="186" t="s">
        <v>769</v>
      </c>
      <c r="B161" s="187" t="s">
        <v>770</v>
      </c>
      <c r="C161" s="188">
        <v>-3307.7</v>
      </c>
      <c r="D161" s="148">
        <v>0</v>
      </c>
      <c r="E161" s="148">
        <v>0</v>
      </c>
    </row>
    <row r="162" spans="1:5" s="138" customFormat="1">
      <c r="A162" s="143"/>
      <c r="B162" s="189" t="s">
        <v>771</v>
      </c>
      <c r="C162" s="145">
        <f>C9+C100</f>
        <v>923013.84000000008</v>
      </c>
      <c r="D162" s="145">
        <f>D9+D100</f>
        <v>734379.7</v>
      </c>
      <c r="E162" s="145">
        <f>E9+E100</f>
        <v>655311.10000000009</v>
      </c>
    </row>
    <row r="163" spans="1:5" s="138" customFormat="1">
      <c r="A163" s="139"/>
      <c r="B163" s="135"/>
      <c r="C163" s="190"/>
      <c r="D163" s="140"/>
      <c r="E163" s="140"/>
    </row>
    <row r="164" spans="1:5" s="138" customFormat="1">
      <c r="A164" s="139"/>
      <c r="B164" s="135"/>
      <c r="C164" s="190"/>
      <c r="D164" s="140"/>
      <c r="E164" s="140"/>
    </row>
    <row r="165" spans="1:5" s="138" customFormat="1">
      <c r="A165" s="139"/>
      <c r="B165" s="135"/>
      <c r="C165" s="190"/>
      <c r="D165" s="140"/>
      <c r="E165" s="140"/>
    </row>
    <row r="166" spans="1:5" s="138" customFormat="1">
      <c r="A166" s="139"/>
      <c r="B166" s="135"/>
      <c r="C166" s="190"/>
      <c r="D166" s="140"/>
      <c r="E166" s="140"/>
    </row>
    <row r="168" spans="1:5" s="138" customFormat="1">
      <c r="A168" s="139"/>
      <c r="B168" s="135"/>
      <c r="C168" s="191"/>
      <c r="D168" s="191"/>
      <c r="E168" s="191"/>
    </row>
  </sheetData>
  <mergeCells count="6">
    <mergeCell ref="A2:E2"/>
    <mergeCell ref="B3:E3"/>
    <mergeCell ref="A5:E5"/>
    <mergeCell ref="A7:A8"/>
    <mergeCell ref="B7:B8"/>
    <mergeCell ref="C7:E7"/>
  </mergeCells>
  <pageMargins left="0.78740157480314965" right="0.19685039370078741" top="0.19685039370078741" bottom="0.19685039370078741" header="0.31496062992125984" footer="0.31496062992125984"/>
  <pageSetup paperSize="9" scale="70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47"/>
  <sheetViews>
    <sheetView topLeftCell="A25" workbookViewId="0">
      <selection activeCell="A2" sqref="A2:E2"/>
    </sheetView>
  </sheetViews>
  <sheetFormatPr defaultColWidth="8.85546875" defaultRowHeight="15.75"/>
  <cols>
    <col min="1" max="1" width="8.28515625" style="13" customWidth="1"/>
    <col min="2" max="2" width="66.85546875" style="13" customWidth="1"/>
    <col min="3" max="3" width="11.28515625" style="13" customWidth="1"/>
    <col min="4" max="4" width="12" style="13" customWidth="1"/>
    <col min="5" max="5" width="11.7109375" style="13" customWidth="1"/>
    <col min="6" max="16384" width="8.85546875" style="3"/>
  </cols>
  <sheetData>
    <row r="1" spans="1:8" ht="46.15" customHeight="1">
      <c r="A1" s="225" t="s">
        <v>782</v>
      </c>
      <c r="B1" s="225"/>
      <c r="C1" s="225"/>
      <c r="D1" s="225"/>
      <c r="E1" s="225"/>
    </row>
    <row r="2" spans="1:8" ht="51" customHeight="1">
      <c r="A2" s="226" t="s">
        <v>425</v>
      </c>
      <c r="B2" s="226"/>
      <c r="C2" s="226"/>
      <c r="D2" s="226"/>
      <c r="E2" s="226"/>
    </row>
    <row r="3" spans="1:8">
      <c r="A3" s="222" t="s">
        <v>38</v>
      </c>
      <c r="B3" s="222" t="s">
        <v>20</v>
      </c>
      <c r="C3" s="227" t="s">
        <v>93</v>
      </c>
      <c r="D3" s="228"/>
      <c r="E3" s="229"/>
    </row>
    <row r="4" spans="1:8">
      <c r="A4" s="223"/>
      <c r="B4" s="223"/>
      <c r="C4" s="222" t="s">
        <v>94</v>
      </c>
      <c r="D4" s="227" t="s">
        <v>95</v>
      </c>
      <c r="E4" s="229"/>
    </row>
    <row r="5" spans="1:8">
      <c r="A5" s="224"/>
      <c r="B5" s="224"/>
      <c r="C5" s="224"/>
      <c r="D5" s="89" t="s">
        <v>107</v>
      </c>
      <c r="E5" s="89" t="s">
        <v>317</v>
      </c>
    </row>
    <row r="6" spans="1:8">
      <c r="A6" s="89" t="s">
        <v>4</v>
      </c>
      <c r="B6" s="89" t="s">
        <v>80</v>
      </c>
      <c r="C6" s="89" t="s">
        <v>81</v>
      </c>
      <c r="D6" s="89" t="s">
        <v>82</v>
      </c>
      <c r="E6" s="89" t="s">
        <v>83</v>
      </c>
    </row>
    <row r="7" spans="1:8">
      <c r="A7" s="4" t="s">
        <v>69</v>
      </c>
      <c r="B7" s="23" t="s">
        <v>61</v>
      </c>
      <c r="C7" s="6">
        <f>C8+C18+C21+C26+C29+C36+C38+C42+C44+C46</f>
        <v>996428.09999999986</v>
      </c>
      <c r="D7" s="6">
        <f t="shared" ref="D7:E7" si="0">D8+D18+D21+D26+D29+D36+D38+D42+D44+D46</f>
        <v>713710.2</v>
      </c>
      <c r="E7" s="6">
        <f t="shared" si="0"/>
        <v>625563.9</v>
      </c>
    </row>
    <row r="8" spans="1:8">
      <c r="A8" s="4" t="s">
        <v>57</v>
      </c>
      <c r="B8" s="19" t="s">
        <v>22</v>
      </c>
      <c r="C8" s="6">
        <f>SUM(C9:C17)</f>
        <v>72588.799999999988</v>
      </c>
      <c r="D8" s="6">
        <f t="shared" ref="D8:E8" si="1">SUM(D9:D17)</f>
        <v>72620.3</v>
      </c>
      <c r="E8" s="6">
        <f t="shared" si="1"/>
        <v>71734.399999999994</v>
      </c>
    </row>
    <row r="9" spans="1:8" ht="34.15" customHeight="1">
      <c r="A9" s="89" t="s">
        <v>45</v>
      </c>
      <c r="B9" s="90" t="s">
        <v>62</v>
      </c>
      <c r="C9" s="7">
        <f>'№ 6'!E9</f>
        <v>903.3</v>
      </c>
      <c r="D9" s="7">
        <f>'№ 6'!F9</f>
        <v>1479</v>
      </c>
      <c r="E9" s="7">
        <f>'№ 6'!G9</f>
        <v>1479</v>
      </c>
    </row>
    <row r="10" spans="1:8" ht="47.25">
      <c r="A10" s="89" t="s">
        <v>46</v>
      </c>
      <c r="B10" s="90" t="s">
        <v>23</v>
      </c>
      <c r="C10" s="7">
        <f>'№ 6'!E15</f>
        <v>3501</v>
      </c>
      <c r="D10" s="7">
        <f>'№ 6'!F15</f>
        <v>4134</v>
      </c>
      <c r="E10" s="7">
        <f>'№ 6'!G15</f>
        <v>4134</v>
      </c>
    </row>
    <row r="11" spans="1:8" ht="49.15" customHeight="1">
      <c r="A11" s="89" t="s">
        <v>47</v>
      </c>
      <c r="B11" s="90" t="s">
        <v>24</v>
      </c>
      <c r="C11" s="7">
        <f>'№ 6'!E29</f>
        <v>22072.100000000002</v>
      </c>
      <c r="D11" s="7">
        <f>'№ 6'!F29</f>
        <v>20305.7</v>
      </c>
      <c r="E11" s="7">
        <f>'№ 6'!G29</f>
        <v>20305.7</v>
      </c>
    </row>
    <row r="12" spans="1:8" ht="15.6" customHeight="1">
      <c r="A12" s="14" t="s">
        <v>187</v>
      </c>
      <c r="B12" s="8" t="s">
        <v>188</v>
      </c>
      <c r="C12" s="7">
        <f>'№ 6'!E46</f>
        <v>28.6</v>
      </c>
      <c r="D12" s="7">
        <f>'№ 6'!F46</f>
        <v>29.9</v>
      </c>
      <c r="E12" s="7">
        <f>'№ 6'!G46</f>
        <v>30.9</v>
      </c>
    </row>
    <row r="13" spans="1:8" ht="37.15" customHeight="1">
      <c r="A13" s="89" t="s">
        <v>48</v>
      </c>
      <c r="B13" s="90" t="s">
        <v>8</v>
      </c>
      <c r="C13" s="7">
        <f>'№ 6'!E52</f>
        <v>6771.7</v>
      </c>
      <c r="D13" s="7">
        <f>'№ 6'!F52</f>
        <v>6273.2999999999993</v>
      </c>
      <c r="E13" s="7">
        <f>'№ 6'!G52</f>
        <v>6273.2999999999993</v>
      </c>
      <c r="H13" s="41"/>
    </row>
    <row r="14" spans="1:8" ht="18.600000000000001" customHeight="1">
      <c r="A14" s="14" t="s">
        <v>393</v>
      </c>
      <c r="B14" s="42" t="s">
        <v>394</v>
      </c>
      <c r="C14" s="7">
        <f>'№ 6'!E61</f>
        <v>486.6</v>
      </c>
      <c r="D14" s="7">
        <f>'№ 6'!F61</f>
        <v>0</v>
      </c>
      <c r="E14" s="7">
        <f>'№ 6'!G61</f>
        <v>0</v>
      </c>
      <c r="H14" s="41"/>
    </row>
    <row r="15" spans="1:8" ht="19.149999999999999" customHeight="1">
      <c r="A15" s="14" t="s">
        <v>269</v>
      </c>
      <c r="B15" s="90" t="s">
        <v>270</v>
      </c>
      <c r="C15" s="7">
        <f>'№ 6'!E67</f>
        <v>88.6</v>
      </c>
      <c r="D15" s="7">
        <f>'№ 6'!F67</f>
        <v>88.6</v>
      </c>
      <c r="E15" s="7">
        <f>'№ 6'!G67</f>
        <v>88.6</v>
      </c>
    </row>
    <row r="16" spans="1:8">
      <c r="A16" s="89" t="s">
        <v>49</v>
      </c>
      <c r="B16" s="90" t="s">
        <v>9</v>
      </c>
      <c r="C16" s="7">
        <f>'№ 6'!E74</f>
        <v>392.6</v>
      </c>
      <c r="D16" s="7">
        <f>'№ 6'!F74</f>
        <v>800</v>
      </c>
      <c r="E16" s="7">
        <f>'№ 6'!G74</f>
        <v>474.9</v>
      </c>
    </row>
    <row r="17" spans="1:5">
      <c r="A17" s="89" t="s">
        <v>63</v>
      </c>
      <c r="B17" s="90" t="s">
        <v>25</v>
      </c>
      <c r="C17" s="7">
        <f>'№ 6'!E80</f>
        <v>38344.300000000003</v>
      </c>
      <c r="D17" s="7">
        <f>'№ 6'!F80</f>
        <v>39509.800000000003</v>
      </c>
      <c r="E17" s="7">
        <f>'№ 6'!G80</f>
        <v>38948</v>
      </c>
    </row>
    <row r="18" spans="1:5" ht="32.450000000000003" customHeight="1">
      <c r="A18" s="4" t="s">
        <v>58</v>
      </c>
      <c r="B18" s="19" t="s">
        <v>26</v>
      </c>
      <c r="C18" s="6">
        <f>C19+C20</f>
        <v>9544.4</v>
      </c>
      <c r="D18" s="6">
        <f t="shared" ref="D18:E18" si="2">D19+D20</f>
        <v>8932.4</v>
      </c>
      <c r="E18" s="6">
        <f t="shared" si="2"/>
        <v>8984.6</v>
      </c>
    </row>
    <row r="19" spans="1:5">
      <c r="A19" s="89" t="s">
        <v>78</v>
      </c>
      <c r="B19" s="90" t="s">
        <v>79</v>
      </c>
      <c r="C19" s="7">
        <f>'№ 6'!E167</f>
        <v>2145.5</v>
      </c>
      <c r="D19" s="7">
        <f>'№ 6'!F167</f>
        <v>1512.9</v>
      </c>
      <c r="E19" s="7">
        <f>'№ 6'!G167</f>
        <v>1565.1000000000001</v>
      </c>
    </row>
    <row r="20" spans="1:5" ht="31.5">
      <c r="A20" s="14" t="s">
        <v>50</v>
      </c>
      <c r="B20" s="90" t="s">
        <v>16</v>
      </c>
      <c r="C20" s="7">
        <f>'№ 6'!E179</f>
        <v>7398.9</v>
      </c>
      <c r="D20" s="7">
        <f>'№ 6'!F179</f>
        <v>7419.5</v>
      </c>
      <c r="E20" s="7">
        <f>'№ 6'!G179</f>
        <v>7419.5</v>
      </c>
    </row>
    <row r="21" spans="1:5" ht="16.149999999999999" customHeight="1">
      <c r="A21" s="4" t="s">
        <v>59</v>
      </c>
      <c r="B21" s="19" t="s">
        <v>27</v>
      </c>
      <c r="C21" s="6">
        <f>C23+C24+C25+C22</f>
        <v>181789.69999999998</v>
      </c>
      <c r="D21" s="6">
        <f t="shared" ref="D21:E21" si="3">D23+D24+D25+D22</f>
        <v>18890.5</v>
      </c>
      <c r="E21" s="6">
        <f t="shared" si="3"/>
        <v>21113.7</v>
      </c>
    </row>
    <row r="22" spans="1:5">
      <c r="A22" s="14" t="s">
        <v>108</v>
      </c>
      <c r="B22" s="90" t="s">
        <v>109</v>
      </c>
      <c r="C22" s="7">
        <f>'№ 6'!E187</f>
        <v>452.9</v>
      </c>
      <c r="D22" s="7">
        <f>'№ 6'!F187</f>
        <v>420.7</v>
      </c>
      <c r="E22" s="7">
        <f>'№ 6'!G187</f>
        <v>0</v>
      </c>
    </row>
    <row r="23" spans="1:5">
      <c r="A23" s="89" t="s">
        <v>91</v>
      </c>
      <c r="B23" s="90" t="s">
        <v>92</v>
      </c>
      <c r="C23" s="7">
        <f>'№ 6'!E194</f>
        <v>375.4</v>
      </c>
      <c r="D23" s="7">
        <f>'№ 6'!F194</f>
        <v>385.3</v>
      </c>
      <c r="E23" s="7">
        <f>'№ 6'!G194</f>
        <v>389.3</v>
      </c>
    </row>
    <row r="24" spans="1:5">
      <c r="A24" s="89" t="s">
        <v>7</v>
      </c>
      <c r="B24" s="90" t="s">
        <v>96</v>
      </c>
      <c r="C24" s="7">
        <f>'№ 6'!E201</f>
        <v>178199.19999999998</v>
      </c>
      <c r="D24" s="7">
        <f>'№ 6'!F201</f>
        <v>15143.7</v>
      </c>
      <c r="E24" s="7">
        <f>'№ 6'!G201</f>
        <v>18490</v>
      </c>
    </row>
    <row r="25" spans="1:5">
      <c r="A25" s="89" t="s">
        <v>51</v>
      </c>
      <c r="B25" s="90" t="s">
        <v>28</v>
      </c>
      <c r="C25" s="7">
        <f>'№ 6'!E254</f>
        <v>2762.2000000000003</v>
      </c>
      <c r="D25" s="7">
        <f>'№ 6'!F254</f>
        <v>2940.8</v>
      </c>
      <c r="E25" s="7">
        <f>'№ 6'!G254</f>
        <v>2234.4</v>
      </c>
    </row>
    <row r="26" spans="1:5">
      <c r="A26" s="4" t="s">
        <v>60</v>
      </c>
      <c r="B26" s="19" t="s">
        <v>29</v>
      </c>
      <c r="C26" s="6">
        <f>C27+C28</f>
        <v>86506.299999999988</v>
      </c>
      <c r="D26" s="6">
        <f t="shared" ref="D26:E26" si="4">D27+D28</f>
        <v>18108.800000000003</v>
      </c>
      <c r="E26" s="6">
        <f t="shared" si="4"/>
        <v>10833.5</v>
      </c>
    </row>
    <row r="27" spans="1:5">
      <c r="A27" s="89" t="s">
        <v>5</v>
      </c>
      <c r="B27" s="90" t="s">
        <v>6</v>
      </c>
      <c r="C27" s="7">
        <f>'№ 6'!E271</f>
        <v>1715.7</v>
      </c>
      <c r="D27" s="7">
        <f>'№ 6'!F271</f>
        <v>1715.7</v>
      </c>
      <c r="E27" s="7">
        <f>'№ 6'!G271</f>
        <v>1715.7</v>
      </c>
    </row>
    <row r="28" spans="1:5">
      <c r="A28" s="89" t="s">
        <v>52</v>
      </c>
      <c r="B28" s="90" t="s">
        <v>30</v>
      </c>
      <c r="C28" s="7">
        <f>'№ 6'!E278</f>
        <v>84790.599999999991</v>
      </c>
      <c r="D28" s="7">
        <f>'№ 6'!F278</f>
        <v>16393.100000000002</v>
      </c>
      <c r="E28" s="7">
        <f>'№ 6'!G278</f>
        <v>9117.7999999999993</v>
      </c>
    </row>
    <row r="29" spans="1:5">
      <c r="A29" s="4" t="s">
        <v>39</v>
      </c>
      <c r="B29" s="5" t="s">
        <v>31</v>
      </c>
      <c r="C29" s="6">
        <f>C30+C31+C32+C34+C35+C33</f>
        <v>562343.5</v>
      </c>
      <c r="D29" s="6">
        <f t="shared" ref="D29:E29" si="5">D30+D31+D32+D34+D35+D33</f>
        <v>529029.69999999995</v>
      </c>
      <c r="E29" s="6">
        <f t="shared" si="5"/>
        <v>445480.9</v>
      </c>
    </row>
    <row r="30" spans="1:5">
      <c r="A30" s="89" t="s">
        <v>53</v>
      </c>
      <c r="B30" s="90" t="s">
        <v>11</v>
      </c>
      <c r="C30" s="7">
        <f>'№ 6'!E337</f>
        <v>236898.2</v>
      </c>
      <c r="D30" s="7">
        <f>'№ 6'!F337</f>
        <v>251411.5</v>
      </c>
      <c r="E30" s="7">
        <f>'№ 6'!G337</f>
        <v>169087.2</v>
      </c>
    </row>
    <row r="31" spans="1:5">
      <c r="A31" s="14" t="s">
        <v>54</v>
      </c>
      <c r="B31" s="90" t="s">
        <v>12</v>
      </c>
      <c r="C31" s="7">
        <f>'№ 6'!E384</f>
        <v>268667.50000000006</v>
      </c>
      <c r="D31" s="7">
        <f>'№ 6'!F384</f>
        <v>233586.7</v>
      </c>
      <c r="E31" s="7">
        <f>'№ 6'!G384</f>
        <v>233571.30000000002</v>
      </c>
    </row>
    <row r="32" spans="1:5">
      <c r="A32" s="14" t="s">
        <v>97</v>
      </c>
      <c r="B32" s="90" t="s">
        <v>98</v>
      </c>
      <c r="C32" s="7">
        <f>'№ 6'!E451</f>
        <v>46823</v>
      </c>
      <c r="D32" s="7">
        <f>'№ 6'!F451</f>
        <v>37064.199999999997</v>
      </c>
      <c r="E32" s="7">
        <f>'№ 6'!G451</f>
        <v>37064.199999999997</v>
      </c>
    </row>
    <row r="33" spans="1:5" ht="32.450000000000003" customHeight="1">
      <c r="A33" s="14" t="s">
        <v>249</v>
      </c>
      <c r="B33" s="90" t="s">
        <v>320</v>
      </c>
      <c r="C33" s="7">
        <f>'№ 6'!E475</f>
        <v>157.19999999999999</v>
      </c>
      <c r="D33" s="7">
        <f>'№ 6'!F475</f>
        <v>479</v>
      </c>
      <c r="E33" s="7">
        <f>'№ 6'!G475</f>
        <v>0</v>
      </c>
    </row>
    <row r="34" spans="1:5">
      <c r="A34" s="14" t="s">
        <v>40</v>
      </c>
      <c r="B34" s="90" t="s">
        <v>106</v>
      </c>
      <c r="C34" s="7">
        <f>'№ 6'!E482</f>
        <v>3598.6999999999994</v>
      </c>
      <c r="D34" s="7">
        <f>'№ 6'!F482</f>
        <v>369.3</v>
      </c>
      <c r="E34" s="7">
        <f>'№ 6'!G482</f>
        <v>36</v>
      </c>
    </row>
    <row r="35" spans="1:5">
      <c r="A35" s="14" t="s">
        <v>55</v>
      </c>
      <c r="B35" s="90" t="s">
        <v>13</v>
      </c>
      <c r="C35" s="7">
        <f>'№ 6'!E518</f>
        <v>6198.9</v>
      </c>
      <c r="D35" s="7">
        <f>'№ 6'!F518</f>
        <v>6119</v>
      </c>
      <c r="E35" s="7">
        <f>'№ 6'!G518</f>
        <v>5722.2</v>
      </c>
    </row>
    <row r="36" spans="1:5">
      <c r="A36" s="4" t="s">
        <v>43</v>
      </c>
      <c r="B36" s="19" t="s">
        <v>85</v>
      </c>
      <c r="C36" s="6">
        <f>C37</f>
        <v>42233.7</v>
      </c>
      <c r="D36" s="6">
        <f t="shared" ref="D36:E36" si="6">D37</f>
        <v>28181.4</v>
      </c>
      <c r="E36" s="6">
        <f t="shared" si="6"/>
        <v>29052.800000000003</v>
      </c>
    </row>
    <row r="37" spans="1:5">
      <c r="A37" s="89" t="s">
        <v>44</v>
      </c>
      <c r="B37" s="90" t="s">
        <v>14</v>
      </c>
      <c r="C37" s="7">
        <f>'№ 6'!E544</f>
        <v>42233.7</v>
      </c>
      <c r="D37" s="7">
        <f>'№ 6'!F544</f>
        <v>28181.4</v>
      </c>
      <c r="E37" s="7">
        <f>'№ 6'!G544</f>
        <v>29052.800000000003</v>
      </c>
    </row>
    <row r="38" spans="1:5">
      <c r="A38" s="4" t="s">
        <v>41</v>
      </c>
      <c r="B38" s="19" t="s">
        <v>33</v>
      </c>
      <c r="C38" s="6">
        <f>C39+C40+C41</f>
        <v>27023.5</v>
      </c>
      <c r="D38" s="6">
        <f t="shared" ref="D38:E38" si="7">D39+D40+D41</f>
        <v>22688.6</v>
      </c>
      <c r="E38" s="6">
        <f t="shared" si="7"/>
        <v>25600.5</v>
      </c>
    </row>
    <row r="39" spans="1:5">
      <c r="A39" s="89" t="s">
        <v>56</v>
      </c>
      <c r="B39" s="90" t="s">
        <v>34</v>
      </c>
      <c r="C39" s="7">
        <f>'№ 6'!E593</f>
        <v>1114.1999999999998</v>
      </c>
      <c r="D39" s="7">
        <f>'№ 6'!F593</f>
        <v>1639.8999999999999</v>
      </c>
      <c r="E39" s="7">
        <f>'№ 6'!G593</f>
        <v>1639.8999999999999</v>
      </c>
    </row>
    <row r="40" spans="1:5">
      <c r="A40" s="89" t="s">
        <v>42</v>
      </c>
      <c r="B40" s="90" t="s">
        <v>36</v>
      </c>
      <c r="C40" s="7">
        <f>'№ 6'!E602</f>
        <v>9066</v>
      </c>
      <c r="D40" s="7">
        <f>'№ 6'!F602</f>
        <v>2248</v>
      </c>
      <c r="E40" s="7">
        <f>'№ 6'!G602</f>
        <v>266.10000000000002</v>
      </c>
    </row>
    <row r="41" spans="1:5">
      <c r="A41" s="89" t="s">
        <v>88</v>
      </c>
      <c r="B41" s="90" t="s">
        <v>89</v>
      </c>
      <c r="C41" s="7">
        <f>'№ 6'!E622</f>
        <v>16843.3</v>
      </c>
      <c r="D41" s="7">
        <f>'№ 6'!F622</f>
        <v>18800.7</v>
      </c>
      <c r="E41" s="7">
        <f>'№ 6'!G622</f>
        <v>23694.5</v>
      </c>
    </row>
    <row r="42" spans="1:5">
      <c r="A42" s="4" t="s">
        <v>64</v>
      </c>
      <c r="B42" s="19" t="s">
        <v>32</v>
      </c>
      <c r="C42" s="6">
        <f>C43</f>
        <v>12275</v>
      </c>
      <c r="D42" s="6">
        <f t="shared" ref="D42:E42" si="8">D43</f>
        <v>13390.1</v>
      </c>
      <c r="E42" s="6">
        <f t="shared" si="8"/>
        <v>10648.9</v>
      </c>
    </row>
    <row r="43" spans="1:5">
      <c r="A43" s="84" t="s">
        <v>90</v>
      </c>
      <c r="B43" s="67" t="s">
        <v>65</v>
      </c>
      <c r="C43" s="68">
        <f>'№ 6'!E641</f>
        <v>12275</v>
      </c>
      <c r="D43" s="68">
        <f>'№ 6'!F641</f>
        <v>13390.1</v>
      </c>
      <c r="E43" s="68">
        <f>'№ 6'!G641</f>
        <v>10648.9</v>
      </c>
    </row>
    <row r="44" spans="1:5" ht="19.899999999999999" customHeight="1">
      <c r="A44" s="15" t="s">
        <v>99</v>
      </c>
      <c r="B44" s="19" t="s">
        <v>66</v>
      </c>
      <c r="C44" s="70">
        <f>C45</f>
        <v>2117.2000000000003</v>
      </c>
      <c r="D44" s="70">
        <f t="shared" ref="D44:E44" si="9">D45</f>
        <v>1822.4</v>
      </c>
      <c r="E44" s="70">
        <f t="shared" si="9"/>
        <v>2068.6</v>
      </c>
    </row>
    <row r="45" spans="1:5" ht="14.45" customHeight="1">
      <c r="A45" s="86" t="s">
        <v>67</v>
      </c>
      <c r="B45" s="59" t="s">
        <v>68</v>
      </c>
      <c r="C45" s="16">
        <f>'№ 6'!E675</f>
        <v>2117.2000000000003</v>
      </c>
      <c r="D45" s="16">
        <f>'№ 6'!F675</f>
        <v>1822.4</v>
      </c>
      <c r="E45" s="16">
        <f>'№ 6'!G675</f>
        <v>2068.6</v>
      </c>
    </row>
    <row r="46" spans="1:5">
      <c r="A46" s="15" t="s">
        <v>328</v>
      </c>
      <c r="B46" s="19" t="s">
        <v>329</v>
      </c>
      <c r="C46" s="70">
        <f>C47</f>
        <v>6</v>
      </c>
      <c r="D46" s="70">
        <f t="shared" ref="D46:E46" si="10">D47</f>
        <v>46</v>
      </c>
      <c r="E46" s="70">
        <f t="shared" si="10"/>
        <v>46</v>
      </c>
    </row>
    <row r="47" spans="1:5" ht="33.6" customHeight="1">
      <c r="A47" s="86" t="s">
        <v>330</v>
      </c>
      <c r="B47" s="59" t="s">
        <v>331</v>
      </c>
      <c r="C47" s="16">
        <f>'№ 6'!E691</f>
        <v>6</v>
      </c>
      <c r="D47" s="16">
        <f>'№ 6'!F691</f>
        <v>46</v>
      </c>
      <c r="E47" s="16">
        <f>'№ 6'!G691</f>
        <v>46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ageMargins left="0.78740157480314965" right="0.19685039370078741" top="0.19685039370078741" bottom="0.19685039370078741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6"/>
  <sheetViews>
    <sheetView topLeftCell="A775" zoomScale="92" zoomScaleNormal="92" workbookViewId="0">
      <selection activeCell="A20" sqref="A20:XFD20"/>
    </sheetView>
  </sheetViews>
  <sheetFormatPr defaultColWidth="8.85546875" defaultRowHeight="15.75"/>
  <cols>
    <col min="1" max="1" width="6.28515625" style="3" customWidth="1"/>
    <col min="2" max="2" width="5.85546875" style="3" customWidth="1"/>
    <col min="3" max="3" width="14.7109375" style="3" customWidth="1"/>
    <col min="4" max="4" width="5.7109375" style="3" customWidth="1"/>
    <col min="5" max="5" width="67.7109375" style="58" customWidth="1"/>
    <col min="6" max="6" width="11.5703125" style="26" customWidth="1"/>
    <col min="7" max="7" width="11" style="26" customWidth="1"/>
    <col min="8" max="8" width="10.7109375" style="26" customWidth="1"/>
    <col min="9" max="16384" width="8.85546875" style="3"/>
  </cols>
  <sheetData>
    <row r="1" spans="1:8" ht="54.6" customHeight="1">
      <c r="A1" s="85" t="s">
        <v>69</v>
      </c>
      <c r="B1" s="230" t="s">
        <v>783</v>
      </c>
      <c r="C1" s="230"/>
      <c r="D1" s="230"/>
      <c r="E1" s="230"/>
      <c r="F1" s="230"/>
      <c r="G1" s="230"/>
      <c r="H1" s="230"/>
    </row>
    <row r="2" spans="1:8" ht="44.45" customHeight="1">
      <c r="A2" s="231" t="s">
        <v>318</v>
      </c>
      <c r="B2" s="231"/>
      <c r="C2" s="231"/>
      <c r="D2" s="231"/>
      <c r="E2" s="231"/>
      <c r="F2" s="231"/>
      <c r="G2" s="231"/>
      <c r="H2" s="231"/>
    </row>
    <row r="3" spans="1:8">
      <c r="A3" s="232" t="s">
        <v>17</v>
      </c>
      <c r="B3" s="232" t="s">
        <v>38</v>
      </c>
      <c r="C3" s="232" t="s">
        <v>18</v>
      </c>
      <c r="D3" s="232" t="s">
        <v>19</v>
      </c>
      <c r="E3" s="233" t="s">
        <v>20</v>
      </c>
      <c r="F3" s="234" t="s">
        <v>93</v>
      </c>
      <c r="G3" s="234"/>
      <c r="H3" s="234"/>
    </row>
    <row r="4" spans="1:8">
      <c r="A4" s="232" t="s">
        <v>69</v>
      </c>
      <c r="B4" s="232" t="s">
        <v>69</v>
      </c>
      <c r="C4" s="232" t="s">
        <v>69</v>
      </c>
      <c r="D4" s="232" t="s">
        <v>69</v>
      </c>
      <c r="E4" s="233" t="s">
        <v>69</v>
      </c>
      <c r="F4" s="234" t="s">
        <v>94</v>
      </c>
      <c r="G4" s="234" t="s">
        <v>95</v>
      </c>
      <c r="H4" s="234"/>
    </row>
    <row r="5" spans="1:8">
      <c r="A5" s="232" t="s">
        <v>69</v>
      </c>
      <c r="B5" s="232" t="s">
        <v>69</v>
      </c>
      <c r="C5" s="232" t="s">
        <v>69</v>
      </c>
      <c r="D5" s="232" t="s">
        <v>69</v>
      </c>
      <c r="E5" s="233" t="s">
        <v>69</v>
      </c>
      <c r="F5" s="234" t="s">
        <v>69</v>
      </c>
      <c r="G5" s="88" t="s">
        <v>107</v>
      </c>
      <c r="H5" s="88" t="s">
        <v>317</v>
      </c>
    </row>
    <row r="6" spans="1:8">
      <c r="A6" s="86" t="s">
        <v>4</v>
      </c>
      <c r="B6" s="86" t="s">
        <v>80</v>
      </c>
      <c r="C6" s="86" t="s">
        <v>81</v>
      </c>
      <c r="D6" s="86" t="s">
        <v>82</v>
      </c>
      <c r="E6" s="88" t="s">
        <v>83</v>
      </c>
      <c r="F6" s="88" t="s">
        <v>84</v>
      </c>
      <c r="G6" s="88" t="s">
        <v>100</v>
      </c>
      <c r="H6" s="88" t="s">
        <v>101</v>
      </c>
    </row>
    <row r="7" spans="1:8">
      <c r="A7" s="15" t="s">
        <v>69</v>
      </c>
      <c r="B7" s="15" t="s">
        <v>69</v>
      </c>
      <c r="C7" s="15" t="s">
        <v>69</v>
      </c>
      <c r="D7" s="15" t="s">
        <v>69</v>
      </c>
      <c r="E7" s="55" t="s">
        <v>0</v>
      </c>
      <c r="F7" s="25">
        <f>F8+F493+F528+F583+F599</f>
        <v>996428.10000000009</v>
      </c>
      <c r="G7" s="25">
        <f>G8+G493+G528+G583+G599</f>
        <v>713710.20000000007</v>
      </c>
      <c r="H7" s="25">
        <f>H8+H493+H528+H583+H599</f>
        <v>625563.9</v>
      </c>
    </row>
    <row r="8" spans="1:8">
      <c r="A8" s="15" t="s">
        <v>21</v>
      </c>
      <c r="B8" s="24" t="s">
        <v>69</v>
      </c>
      <c r="C8" s="24" t="s">
        <v>69</v>
      </c>
      <c r="D8" s="24" t="s">
        <v>69</v>
      </c>
      <c r="E8" s="55" t="s">
        <v>86</v>
      </c>
      <c r="F8" s="25">
        <f>F9+F126+F146+F225+F284+F363+F412+F476+F442</f>
        <v>472715.10000000003</v>
      </c>
      <c r="G8" s="25">
        <f>G9+G126+G146+G225+G284+G363+G412+G476+G442</f>
        <v>259719.1</v>
      </c>
      <c r="H8" s="25">
        <f>H9+H126+H146+H225+H284+H363+H412+H476+H442</f>
        <v>168166.5</v>
      </c>
    </row>
    <row r="9" spans="1:8">
      <c r="A9" s="86" t="s">
        <v>21</v>
      </c>
      <c r="B9" s="86" t="s">
        <v>57</v>
      </c>
      <c r="C9" s="86" t="s">
        <v>69</v>
      </c>
      <c r="D9" s="86" t="s">
        <v>69</v>
      </c>
      <c r="E9" s="56" t="s">
        <v>22</v>
      </c>
      <c r="F9" s="21">
        <f>F10+F16+F33+F52+F45+F39</f>
        <v>56019.6</v>
      </c>
      <c r="G9" s="21">
        <f t="shared" ref="G9:H9" si="0">G10+G16+G33+G52+G45+G39</f>
        <v>57117.9</v>
      </c>
      <c r="H9" s="21">
        <f t="shared" si="0"/>
        <v>56683.1</v>
      </c>
    </row>
    <row r="10" spans="1:8" ht="31.5">
      <c r="A10" s="86" t="s">
        <v>21</v>
      </c>
      <c r="B10" s="86" t="s">
        <v>45</v>
      </c>
      <c r="C10" s="86" t="s">
        <v>69</v>
      </c>
      <c r="D10" s="86" t="s">
        <v>69</v>
      </c>
      <c r="E10" s="42" t="s">
        <v>62</v>
      </c>
      <c r="F10" s="21">
        <f>F11</f>
        <v>903.3</v>
      </c>
      <c r="G10" s="21">
        <f t="shared" ref="G10:H14" si="1">G11</f>
        <v>1479</v>
      </c>
      <c r="H10" s="21">
        <f t="shared" si="1"/>
        <v>1479</v>
      </c>
    </row>
    <row r="11" spans="1:8">
      <c r="A11" s="86" t="s">
        <v>21</v>
      </c>
      <c r="B11" s="86" t="s">
        <v>45</v>
      </c>
      <c r="C11" s="86">
        <v>9900000000</v>
      </c>
      <c r="D11" s="86"/>
      <c r="E11" s="87" t="s">
        <v>116</v>
      </c>
      <c r="F11" s="21">
        <f>F12</f>
        <v>903.3</v>
      </c>
      <c r="G11" s="21">
        <f t="shared" si="1"/>
        <v>1479</v>
      </c>
      <c r="H11" s="21">
        <f t="shared" si="1"/>
        <v>1479</v>
      </c>
    </row>
    <row r="12" spans="1:8" ht="31.5">
      <c r="A12" s="86" t="s">
        <v>21</v>
      </c>
      <c r="B12" s="86" t="s">
        <v>45</v>
      </c>
      <c r="C12" s="86">
        <v>9990000000</v>
      </c>
      <c r="D12" s="86"/>
      <c r="E12" s="87" t="s">
        <v>176</v>
      </c>
      <c r="F12" s="21">
        <f>F13</f>
        <v>903.3</v>
      </c>
      <c r="G12" s="21">
        <f t="shared" si="1"/>
        <v>1479</v>
      </c>
      <c r="H12" s="21">
        <f t="shared" si="1"/>
        <v>1479</v>
      </c>
    </row>
    <row r="13" spans="1:8">
      <c r="A13" s="86" t="s">
        <v>21</v>
      </c>
      <c r="B13" s="86" t="s">
        <v>45</v>
      </c>
      <c r="C13" s="86">
        <v>9990021000</v>
      </c>
      <c r="D13" s="24"/>
      <c r="E13" s="87" t="s">
        <v>177</v>
      </c>
      <c r="F13" s="21">
        <f>F14</f>
        <v>903.3</v>
      </c>
      <c r="G13" s="21">
        <f t="shared" si="1"/>
        <v>1479</v>
      </c>
      <c r="H13" s="21">
        <f t="shared" si="1"/>
        <v>1479</v>
      </c>
    </row>
    <row r="14" spans="1:8" ht="63">
      <c r="A14" s="86" t="s">
        <v>21</v>
      </c>
      <c r="B14" s="86" t="s">
        <v>45</v>
      </c>
      <c r="C14" s="86">
        <v>9990021000</v>
      </c>
      <c r="D14" s="86" t="s">
        <v>71</v>
      </c>
      <c r="E14" s="87" t="s">
        <v>1</v>
      </c>
      <c r="F14" s="21">
        <f>F15</f>
        <v>903.3</v>
      </c>
      <c r="G14" s="21">
        <f t="shared" si="1"/>
        <v>1479</v>
      </c>
      <c r="H14" s="21">
        <f t="shared" si="1"/>
        <v>1479</v>
      </c>
    </row>
    <row r="15" spans="1:8" ht="31.5">
      <c r="A15" s="86" t="s">
        <v>21</v>
      </c>
      <c r="B15" s="86" t="s">
        <v>45</v>
      </c>
      <c r="C15" s="86">
        <v>9990021000</v>
      </c>
      <c r="D15" s="86">
        <v>120</v>
      </c>
      <c r="E15" s="87" t="s">
        <v>319</v>
      </c>
      <c r="F15" s="21">
        <f>1479+136.6-712.3</f>
        <v>903.3</v>
      </c>
      <c r="G15" s="21">
        <v>1479</v>
      </c>
      <c r="H15" s="21">
        <v>1479</v>
      </c>
    </row>
    <row r="16" spans="1:8" ht="47.25">
      <c r="A16" s="86" t="s">
        <v>21</v>
      </c>
      <c r="B16" s="86" t="s">
        <v>47</v>
      </c>
      <c r="C16" s="86" t="s">
        <v>69</v>
      </c>
      <c r="D16" s="86" t="s">
        <v>69</v>
      </c>
      <c r="E16" s="87" t="s">
        <v>24</v>
      </c>
      <c r="F16" s="21">
        <f>F17</f>
        <v>22072.100000000002</v>
      </c>
      <c r="G16" s="21">
        <f t="shared" ref="G16:H18" si="2">G17</f>
        <v>20305.7</v>
      </c>
      <c r="H16" s="21">
        <f t="shared" si="2"/>
        <v>20305.7</v>
      </c>
    </row>
    <row r="17" spans="1:8">
      <c r="A17" s="86" t="s">
        <v>21</v>
      </c>
      <c r="B17" s="86" t="s">
        <v>47</v>
      </c>
      <c r="C17" s="86">
        <v>9900000000</v>
      </c>
      <c r="D17" s="86"/>
      <c r="E17" s="87" t="s">
        <v>116</v>
      </c>
      <c r="F17" s="21">
        <f>F18</f>
        <v>22072.100000000002</v>
      </c>
      <c r="G17" s="21">
        <f t="shared" si="2"/>
        <v>20305.7</v>
      </c>
      <c r="H17" s="21">
        <f t="shared" si="2"/>
        <v>20305.7</v>
      </c>
    </row>
    <row r="18" spans="1:8" ht="31.5">
      <c r="A18" s="86" t="s">
        <v>21</v>
      </c>
      <c r="B18" s="86" t="s">
        <v>47</v>
      </c>
      <c r="C18" s="86">
        <v>9990000000</v>
      </c>
      <c r="D18" s="86"/>
      <c r="E18" s="87" t="s">
        <v>176</v>
      </c>
      <c r="F18" s="21">
        <f>F19</f>
        <v>22072.100000000002</v>
      </c>
      <c r="G18" s="21">
        <f t="shared" si="2"/>
        <v>20305.7</v>
      </c>
      <c r="H18" s="21">
        <f t="shared" si="2"/>
        <v>20305.7</v>
      </c>
    </row>
    <row r="19" spans="1:8" ht="31.5">
      <c r="A19" s="86" t="s">
        <v>21</v>
      </c>
      <c r="B19" s="86" t="s">
        <v>47</v>
      </c>
      <c r="C19" s="86">
        <v>9990200000</v>
      </c>
      <c r="D19" s="24"/>
      <c r="E19" s="87" t="s">
        <v>129</v>
      </c>
      <c r="F19" s="21">
        <f>F25+F30+F20</f>
        <v>22072.100000000002</v>
      </c>
      <c r="G19" s="21">
        <f>G25+G30+G20</f>
        <v>20305.7</v>
      </c>
      <c r="H19" s="21">
        <f>H25+H30+H20</f>
        <v>20305.7</v>
      </c>
    </row>
    <row r="20" spans="1:8" ht="49.5" customHeight="1">
      <c r="A20" s="86" t="s">
        <v>21</v>
      </c>
      <c r="B20" s="86" t="s">
        <v>47</v>
      </c>
      <c r="C20" s="86">
        <v>9990210510</v>
      </c>
      <c r="D20" s="86"/>
      <c r="E20" s="87" t="s">
        <v>179</v>
      </c>
      <c r="F20" s="21">
        <f>F21+F23</f>
        <v>656.6</v>
      </c>
      <c r="G20" s="21">
        <f t="shared" ref="G20:H20" si="3">G21+G23</f>
        <v>656.6</v>
      </c>
      <c r="H20" s="21">
        <f t="shared" si="3"/>
        <v>656.6</v>
      </c>
    </row>
    <row r="21" spans="1:8" ht="63">
      <c r="A21" s="86" t="s">
        <v>21</v>
      </c>
      <c r="B21" s="86" t="s">
        <v>47</v>
      </c>
      <c r="C21" s="86">
        <v>9990210510</v>
      </c>
      <c r="D21" s="86" t="s">
        <v>71</v>
      </c>
      <c r="E21" s="87" t="s">
        <v>1</v>
      </c>
      <c r="F21" s="21">
        <f>F22</f>
        <v>575</v>
      </c>
      <c r="G21" s="21">
        <f t="shared" ref="G21:H21" si="4">G22</f>
        <v>575</v>
      </c>
      <c r="H21" s="21">
        <f t="shared" si="4"/>
        <v>575</v>
      </c>
    </row>
    <row r="22" spans="1:8" ht="31.5">
      <c r="A22" s="86" t="s">
        <v>21</v>
      </c>
      <c r="B22" s="86" t="s">
        <v>47</v>
      </c>
      <c r="C22" s="86">
        <v>9990210510</v>
      </c>
      <c r="D22" s="86">
        <v>120</v>
      </c>
      <c r="E22" s="87" t="s">
        <v>319</v>
      </c>
      <c r="F22" s="21">
        <v>575</v>
      </c>
      <c r="G22" s="21">
        <v>575</v>
      </c>
      <c r="H22" s="21">
        <v>575</v>
      </c>
    </row>
    <row r="23" spans="1:8" ht="31.5">
      <c r="A23" s="86" t="s">
        <v>21</v>
      </c>
      <c r="B23" s="86" t="s">
        <v>47</v>
      </c>
      <c r="C23" s="86">
        <v>9990210510</v>
      </c>
      <c r="D23" s="86" t="s">
        <v>72</v>
      </c>
      <c r="E23" s="87" t="s">
        <v>102</v>
      </c>
      <c r="F23" s="21">
        <f>F24</f>
        <v>81.599999999999994</v>
      </c>
      <c r="G23" s="21">
        <f t="shared" ref="G23:H23" si="5">G24</f>
        <v>81.599999999999994</v>
      </c>
      <c r="H23" s="21">
        <f t="shared" si="5"/>
        <v>81.599999999999994</v>
      </c>
    </row>
    <row r="24" spans="1:8" ht="31.5">
      <c r="A24" s="86" t="s">
        <v>21</v>
      </c>
      <c r="B24" s="86" t="s">
        <v>47</v>
      </c>
      <c r="C24" s="86">
        <v>9990210510</v>
      </c>
      <c r="D24" s="86">
        <v>240</v>
      </c>
      <c r="E24" s="87" t="s">
        <v>315</v>
      </c>
      <c r="F24" s="21">
        <f>75+6.6</f>
        <v>81.599999999999994</v>
      </c>
      <c r="G24" s="21">
        <f>75+6.6</f>
        <v>81.599999999999994</v>
      </c>
      <c r="H24" s="21">
        <f>75+6.6</f>
        <v>81.599999999999994</v>
      </c>
    </row>
    <row r="25" spans="1:8" ht="47.25">
      <c r="A25" s="86" t="s">
        <v>21</v>
      </c>
      <c r="B25" s="86" t="s">
        <v>47</v>
      </c>
      <c r="C25" s="86">
        <v>9990225000</v>
      </c>
      <c r="D25" s="86"/>
      <c r="E25" s="87" t="s">
        <v>130</v>
      </c>
      <c r="F25" s="21">
        <f>F26+F28</f>
        <v>21205.600000000002</v>
      </c>
      <c r="G25" s="21">
        <f t="shared" ref="G25:H25" si="6">G26+G28</f>
        <v>19568.400000000001</v>
      </c>
      <c r="H25" s="21">
        <f t="shared" si="6"/>
        <v>19568.400000000001</v>
      </c>
    </row>
    <row r="26" spans="1:8" ht="63">
      <c r="A26" s="86" t="s">
        <v>21</v>
      </c>
      <c r="B26" s="86" t="s">
        <v>47</v>
      </c>
      <c r="C26" s="86">
        <v>9990225000</v>
      </c>
      <c r="D26" s="86" t="s">
        <v>71</v>
      </c>
      <c r="E26" s="87" t="s">
        <v>1</v>
      </c>
      <c r="F26" s="21">
        <f>F27</f>
        <v>21121.7</v>
      </c>
      <c r="G26" s="21">
        <f t="shared" ref="G26:H26" si="7">G27</f>
        <v>19484.5</v>
      </c>
      <c r="H26" s="21">
        <f t="shared" si="7"/>
        <v>19484.5</v>
      </c>
    </row>
    <row r="27" spans="1:8" ht="31.5">
      <c r="A27" s="86" t="s">
        <v>21</v>
      </c>
      <c r="B27" s="86" t="s">
        <v>47</v>
      </c>
      <c r="C27" s="86">
        <v>9990225000</v>
      </c>
      <c r="D27" s="86">
        <v>120</v>
      </c>
      <c r="E27" s="87" t="s">
        <v>319</v>
      </c>
      <c r="F27" s="21">
        <f>19484.5+1654.8+13.9+20.3+19.2-71</f>
        <v>21121.7</v>
      </c>
      <c r="G27" s="21">
        <v>19484.5</v>
      </c>
      <c r="H27" s="21">
        <v>19484.5</v>
      </c>
    </row>
    <row r="28" spans="1:8">
      <c r="A28" s="86" t="s">
        <v>21</v>
      </c>
      <c r="B28" s="86" t="s">
        <v>47</v>
      </c>
      <c r="C28" s="86">
        <v>9990225000</v>
      </c>
      <c r="D28" s="86" t="s">
        <v>73</v>
      </c>
      <c r="E28" s="87" t="s">
        <v>74</v>
      </c>
      <c r="F28" s="21">
        <f>F29</f>
        <v>83.9</v>
      </c>
      <c r="G28" s="21">
        <f t="shared" ref="G28:H28" si="8">G29</f>
        <v>83.9</v>
      </c>
      <c r="H28" s="21">
        <f t="shared" si="8"/>
        <v>83.9</v>
      </c>
    </row>
    <row r="29" spans="1:8">
      <c r="A29" s="86" t="s">
        <v>21</v>
      </c>
      <c r="B29" s="86" t="s">
        <v>47</v>
      </c>
      <c r="C29" s="86">
        <v>9990225000</v>
      </c>
      <c r="D29" s="86">
        <v>850</v>
      </c>
      <c r="E29" s="87" t="s">
        <v>111</v>
      </c>
      <c r="F29" s="21">
        <v>83.9</v>
      </c>
      <c r="G29" s="21">
        <v>83.9</v>
      </c>
      <c r="H29" s="21">
        <v>83.9</v>
      </c>
    </row>
    <row r="30" spans="1:8" ht="47.25">
      <c r="A30" s="86" t="s">
        <v>21</v>
      </c>
      <c r="B30" s="86" t="s">
        <v>47</v>
      </c>
      <c r="C30" s="86">
        <v>9990226000</v>
      </c>
      <c r="D30" s="86"/>
      <c r="E30" s="87" t="s">
        <v>178</v>
      </c>
      <c r="F30" s="21">
        <f>F31</f>
        <v>209.9</v>
      </c>
      <c r="G30" s="21">
        <f t="shared" ref="G30:H31" si="9">G31</f>
        <v>80.7</v>
      </c>
      <c r="H30" s="21">
        <f t="shared" si="9"/>
        <v>80.7</v>
      </c>
    </row>
    <row r="31" spans="1:8" ht="63">
      <c r="A31" s="86" t="s">
        <v>21</v>
      </c>
      <c r="B31" s="86" t="s">
        <v>47</v>
      </c>
      <c r="C31" s="86">
        <v>9990226000</v>
      </c>
      <c r="D31" s="86" t="s">
        <v>71</v>
      </c>
      <c r="E31" s="87" t="s">
        <v>1</v>
      </c>
      <c r="F31" s="21">
        <f>F32</f>
        <v>209.9</v>
      </c>
      <c r="G31" s="21">
        <f t="shared" si="9"/>
        <v>80.7</v>
      </c>
      <c r="H31" s="21">
        <f t="shared" si="9"/>
        <v>80.7</v>
      </c>
    </row>
    <row r="32" spans="1:8" ht="31.5">
      <c r="A32" s="86" t="s">
        <v>21</v>
      </c>
      <c r="B32" s="86" t="s">
        <v>47</v>
      </c>
      <c r="C32" s="86">
        <v>9990226000</v>
      </c>
      <c r="D32" s="86">
        <v>120</v>
      </c>
      <c r="E32" s="87" t="s">
        <v>319</v>
      </c>
      <c r="F32" s="21">
        <f>80.7+58.2+71</f>
        <v>209.9</v>
      </c>
      <c r="G32" s="21">
        <v>80.7</v>
      </c>
      <c r="H32" s="21">
        <v>80.7</v>
      </c>
    </row>
    <row r="33" spans="1:8">
      <c r="A33" s="86" t="s">
        <v>21</v>
      </c>
      <c r="B33" s="9" t="s">
        <v>187</v>
      </c>
      <c r="C33" s="10"/>
      <c r="D33" s="12"/>
      <c r="E33" s="42" t="s">
        <v>188</v>
      </c>
      <c r="F33" s="21">
        <f>F34</f>
        <v>28.6</v>
      </c>
      <c r="G33" s="21">
        <f t="shared" ref="G33:H37" si="10">G34</f>
        <v>29.9</v>
      </c>
      <c r="H33" s="21">
        <f t="shared" si="10"/>
        <v>30.9</v>
      </c>
    </row>
    <row r="34" spans="1:8">
      <c r="A34" s="86" t="s">
        <v>21</v>
      </c>
      <c r="B34" s="9" t="s">
        <v>187</v>
      </c>
      <c r="C34" s="86">
        <v>9900000000</v>
      </c>
      <c r="D34" s="86"/>
      <c r="E34" s="87" t="s">
        <v>116</v>
      </c>
      <c r="F34" s="21">
        <f>F35</f>
        <v>28.6</v>
      </c>
      <c r="G34" s="21">
        <f t="shared" si="10"/>
        <v>29.9</v>
      </c>
      <c r="H34" s="21">
        <f t="shared" si="10"/>
        <v>30.9</v>
      </c>
    </row>
    <row r="35" spans="1:8" ht="31.5">
      <c r="A35" s="86" t="s">
        <v>21</v>
      </c>
      <c r="B35" s="9" t="s">
        <v>187</v>
      </c>
      <c r="C35" s="86">
        <v>9930000000</v>
      </c>
      <c r="D35" s="86"/>
      <c r="E35" s="87" t="s">
        <v>189</v>
      </c>
      <c r="F35" s="21">
        <f>F36</f>
        <v>28.6</v>
      </c>
      <c r="G35" s="21">
        <f t="shared" si="10"/>
        <v>29.9</v>
      </c>
      <c r="H35" s="21">
        <f t="shared" si="10"/>
        <v>30.9</v>
      </c>
    </row>
    <row r="36" spans="1:8" ht="47.25">
      <c r="A36" s="86" t="s">
        <v>21</v>
      </c>
      <c r="B36" s="9" t="s">
        <v>187</v>
      </c>
      <c r="C36" s="86">
        <v>9930051200</v>
      </c>
      <c r="D36" s="86"/>
      <c r="E36" s="87" t="s">
        <v>190</v>
      </c>
      <c r="F36" s="21">
        <f>F37</f>
        <v>28.6</v>
      </c>
      <c r="G36" s="21">
        <f t="shared" si="10"/>
        <v>29.9</v>
      </c>
      <c r="H36" s="21">
        <f t="shared" si="10"/>
        <v>30.9</v>
      </c>
    </row>
    <row r="37" spans="1:8" ht="31.5">
      <c r="A37" s="86" t="s">
        <v>21</v>
      </c>
      <c r="B37" s="9" t="s">
        <v>187</v>
      </c>
      <c r="C37" s="86">
        <v>9930051200</v>
      </c>
      <c r="D37" s="86" t="s">
        <v>72</v>
      </c>
      <c r="E37" s="87" t="s">
        <v>102</v>
      </c>
      <c r="F37" s="21">
        <f>F38</f>
        <v>28.6</v>
      </c>
      <c r="G37" s="21">
        <f t="shared" si="10"/>
        <v>29.9</v>
      </c>
      <c r="H37" s="21">
        <f t="shared" si="10"/>
        <v>30.9</v>
      </c>
    </row>
    <row r="38" spans="1:8" ht="31.5">
      <c r="A38" s="86" t="s">
        <v>21</v>
      </c>
      <c r="B38" s="9" t="s">
        <v>187</v>
      </c>
      <c r="C38" s="86">
        <v>9930051200</v>
      </c>
      <c r="D38" s="86">
        <v>240</v>
      </c>
      <c r="E38" s="87" t="s">
        <v>315</v>
      </c>
      <c r="F38" s="21">
        <v>28.6</v>
      </c>
      <c r="G38" s="21">
        <v>29.9</v>
      </c>
      <c r="H38" s="21">
        <v>30.9</v>
      </c>
    </row>
    <row r="39" spans="1:8">
      <c r="A39" s="75" t="s">
        <v>21</v>
      </c>
      <c r="B39" s="9" t="s">
        <v>393</v>
      </c>
      <c r="C39" s="86"/>
      <c r="D39" s="86"/>
      <c r="E39" s="42" t="s">
        <v>394</v>
      </c>
      <c r="F39" s="21">
        <f>F40</f>
        <v>486.6</v>
      </c>
      <c r="G39" s="21">
        <f t="shared" ref="G39:H43" si="11">G40</f>
        <v>0</v>
      </c>
      <c r="H39" s="21">
        <f t="shared" si="11"/>
        <v>0</v>
      </c>
    </row>
    <row r="40" spans="1:8">
      <c r="A40" s="75" t="s">
        <v>21</v>
      </c>
      <c r="B40" s="9" t="s">
        <v>393</v>
      </c>
      <c r="C40" s="88" t="s">
        <v>121</v>
      </c>
      <c r="D40" s="88" t="s">
        <v>69</v>
      </c>
      <c r="E40" s="87" t="s">
        <v>116</v>
      </c>
      <c r="F40" s="21">
        <f>F41</f>
        <v>486.6</v>
      </c>
      <c r="G40" s="21">
        <f t="shared" si="11"/>
        <v>0</v>
      </c>
      <c r="H40" s="21">
        <f t="shared" si="11"/>
        <v>0</v>
      </c>
    </row>
    <row r="41" spans="1:8" ht="31.5">
      <c r="A41" s="76" t="s">
        <v>21</v>
      </c>
      <c r="B41" s="9" t="s">
        <v>393</v>
      </c>
      <c r="C41" s="86">
        <v>9930000000</v>
      </c>
      <c r="D41" s="86"/>
      <c r="E41" s="66" t="s">
        <v>189</v>
      </c>
      <c r="F41" s="21">
        <f>F42</f>
        <v>486.6</v>
      </c>
      <c r="G41" s="21">
        <f t="shared" si="11"/>
        <v>0</v>
      </c>
      <c r="H41" s="21">
        <f t="shared" si="11"/>
        <v>0</v>
      </c>
    </row>
    <row r="42" spans="1:8" ht="31.5">
      <c r="A42" s="77" t="s">
        <v>21</v>
      </c>
      <c r="B42" s="9" t="s">
        <v>393</v>
      </c>
      <c r="C42" s="88">
        <v>9930020480</v>
      </c>
      <c r="D42" s="88"/>
      <c r="E42" s="87" t="s">
        <v>395</v>
      </c>
      <c r="F42" s="21">
        <f>F43</f>
        <v>486.6</v>
      </c>
      <c r="G42" s="21">
        <f t="shared" si="11"/>
        <v>0</v>
      </c>
      <c r="H42" s="21">
        <f t="shared" si="11"/>
        <v>0</v>
      </c>
    </row>
    <row r="43" spans="1:8">
      <c r="A43" s="77" t="s">
        <v>21</v>
      </c>
      <c r="B43" s="9" t="s">
        <v>393</v>
      </c>
      <c r="C43" s="88">
        <v>9930020480</v>
      </c>
      <c r="D43" s="86" t="s">
        <v>73</v>
      </c>
      <c r="E43" s="87" t="s">
        <v>74</v>
      </c>
      <c r="F43" s="21">
        <f>F44</f>
        <v>486.6</v>
      </c>
      <c r="G43" s="21">
        <f t="shared" si="11"/>
        <v>0</v>
      </c>
      <c r="H43" s="21">
        <f t="shared" si="11"/>
        <v>0</v>
      </c>
    </row>
    <row r="44" spans="1:8">
      <c r="A44" s="77" t="s">
        <v>21</v>
      </c>
      <c r="B44" s="9" t="s">
        <v>393</v>
      </c>
      <c r="C44" s="88">
        <v>9930020480</v>
      </c>
      <c r="D44" s="86">
        <v>880</v>
      </c>
      <c r="E44" s="87" t="s">
        <v>396</v>
      </c>
      <c r="F44" s="21">
        <v>486.6</v>
      </c>
      <c r="G44" s="21">
        <v>0</v>
      </c>
      <c r="H44" s="21">
        <v>0</v>
      </c>
    </row>
    <row r="45" spans="1:8">
      <c r="A45" s="86" t="s">
        <v>21</v>
      </c>
      <c r="B45" s="78" t="s">
        <v>269</v>
      </c>
      <c r="C45" s="74"/>
      <c r="D45" s="74"/>
      <c r="E45" s="79" t="s">
        <v>271</v>
      </c>
      <c r="F45" s="21">
        <f t="shared" ref="F45:F50" si="12">F46</f>
        <v>88.6</v>
      </c>
      <c r="G45" s="21">
        <f t="shared" ref="G45:H50" si="13">G46</f>
        <v>88.6</v>
      </c>
      <c r="H45" s="21">
        <f t="shared" si="13"/>
        <v>88.6</v>
      </c>
    </row>
    <row r="46" spans="1:8" ht="47.25">
      <c r="A46" s="86" t="s">
        <v>21</v>
      </c>
      <c r="B46" s="9" t="s">
        <v>269</v>
      </c>
      <c r="C46" s="88">
        <v>1200000000</v>
      </c>
      <c r="D46" s="86"/>
      <c r="E46" s="87" t="s">
        <v>216</v>
      </c>
      <c r="F46" s="21">
        <f t="shared" si="12"/>
        <v>88.6</v>
      </c>
      <c r="G46" s="21">
        <f t="shared" si="13"/>
        <v>88.6</v>
      </c>
      <c r="H46" s="21">
        <f t="shared" si="13"/>
        <v>88.6</v>
      </c>
    </row>
    <row r="47" spans="1:8" ht="31.5">
      <c r="A47" s="86" t="s">
        <v>21</v>
      </c>
      <c r="B47" s="9" t="s">
        <v>269</v>
      </c>
      <c r="C47" s="86">
        <v>1240000000</v>
      </c>
      <c r="D47" s="86"/>
      <c r="E47" s="87" t="s">
        <v>150</v>
      </c>
      <c r="F47" s="21">
        <f t="shared" si="12"/>
        <v>88.6</v>
      </c>
      <c r="G47" s="21">
        <f t="shared" si="13"/>
        <v>88.6</v>
      </c>
      <c r="H47" s="21">
        <f t="shared" si="13"/>
        <v>88.6</v>
      </c>
    </row>
    <row r="48" spans="1:8" ht="31.5">
      <c r="A48" s="86" t="s">
        <v>21</v>
      </c>
      <c r="B48" s="22" t="s">
        <v>269</v>
      </c>
      <c r="C48" s="86">
        <v>1240500000</v>
      </c>
      <c r="D48" s="86"/>
      <c r="E48" s="87" t="s">
        <v>151</v>
      </c>
      <c r="F48" s="21">
        <f t="shared" si="12"/>
        <v>88.6</v>
      </c>
      <c r="G48" s="21">
        <f t="shared" si="13"/>
        <v>88.6</v>
      </c>
      <c r="H48" s="21">
        <f t="shared" si="13"/>
        <v>88.6</v>
      </c>
    </row>
    <row r="49" spans="1:8" ht="31.5">
      <c r="A49" s="86" t="s">
        <v>21</v>
      </c>
      <c r="B49" s="9" t="s">
        <v>269</v>
      </c>
      <c r="C49" s="86">
        <v>1240520410</v>
      </c>
      <c r="D49" s="86"/>
      <c r="E49" s="87" t="s">
        <v>256</v>
      </c>
      <c r="F49" s="21">
        <f t="shared" si="12"/>
        <v>88.6</v>
      </c>
      <c r="G49" s="21">
        <f t="shared" si="13"/>
        <v>88.6</v>
      </c>
      <c r="H49" s="21">
        <f t="shared" si="13"/>
        <v>88.6</v>
      </c>
    </row>
    <row r="50" spans="1:8">
      <c r="A50" s="86" t="s">
        <v>21</v>
      </c>
      <c r="B50" s="9" t="s">
        <v>269</v>
      </c>
      <c r="C50" s="86">
        <v>1240520410</v>
      </c>
      <c r="D50" s="86" t="s">
        <v>73</v>
      </c>
      <c r="E50" s="87" t="s">
        <v>74</v>
      </c>
      <c r="F50" s="21">
        <f t="shared" si="12"/>
        <v>88.6</v>
      </c>
      <c r="G50" s="21">
        <f t="shared" si="13"/>
        <v>88.6</v>
      </c>
      <c r="H50" s="21">
        <f t="shared" si="13"/>
        <v>88.6</v>
      </c>
    </row>
    <row r="51" spans="1:8" ht="31.5">
      <c r="A51" s="86" t="s">
        <v>21</v>
      </c>
      <c r="B51" s="9" t="s">
        <v>269</v>
      </c>
      <c r="C51" s="86">
        <v>1240520410</v>
      </c>
      <c r="D51" s="86">
        <v>860</v>
      </c>
      <c r="E51" s="87" t="s">
        <v>321</v>
      </c>
      <c r="F51" s="21">
        <v>88.6</v>
      </c>
      <c r="G51" s="21">
        <v>88.6</v>
      </c>
      <c r="H51" s="21">
        <v>88.6</v>
      </c>
    </row>
    <row r="52" spans="1:8">
      <c r="A52" s="86" t="s">
        <v>21</v>
      </c>
      <c r="B52" s="86" t="s">
        <v>63</v>
      </c>
      <c r="C52" s="86" t="s">
        <v>69</v>
      </c>
      <c r="D52" s="86" t="s">
        <v>69</v>
      </c>
      <c r="E52" s="87" t="s">
        <v>25</v>
      </c>
      <c r="F52" s="21">
        <f>F53+F71+F104+F81</f>
        <v>32440.400000000001</v>
      </c>
      <c r="G52" s="21">
        <f>G53+G71+G104+G81</f>
        <v>35214.699999999997</v>
      </c>
      <c r="H52" s="21">
        <f>H53+H71+H104+H81</f>
        <v>34778.9</v>
      </c>
    </row>
    <row r="53" spans="1:8" ht="47.25">
      <c r="A53" s="86" t="s">
        <v>21</v>
      </c>
      <c r="B53" s="86" t="s">
        <v>63</v>
      </c>
      <c r="C53" s="88">
        <v>1200000000</v>
      </c>
      <c r="D53" s="86"/>
      <c r="E53" s="87" t="s">
        <v>216</v>
      </c>
      <c r="F53" s="21">
        <f>F54</f>
        <v>718.89999999999986</v>
      </c>
      <c r="G53" s="21">
        <f t="shared" ref="G53:H53" si="14">G54</f>
        <v>718.9</v>
      </c>
      <c r="H53" s="21">
        <f t="shared" si="14"/>
        <v>434.9</v>
      </c>
    </row>
    <row r="54" spans="1:8" ht="31.5">
      <c r="A54" s="86" t="s">
        <v>21</v>
      </c>
      <c r="B54" s="86" t="s">
        <v>63</v>
      </c>
      <c r="C54" s="86">
        <v>1240000000</v>
      </c>
      <c r="D54" s="86"/>
      <c r="E54" s="87" t="s">
        <v>150</v>
      </c>
      <c r="F54" s="21">
        <f>F55+F64</f>
        <v>718.89999999999986</v>
      </c>
      <c r="G54" s="21">
        <f t="shared" ref="G54:H54" si="15">G55+G64</f>
        <v>718.9</v>
      </c>
      <c r="H54" s="21">
        <f t="shared" si="15"/>
        <v>434.9</v>
      </c>
    </row>
    <row r="55" spans="1:8" ht="31.5">
      <c r="A55" s="86" t="s">
        <v>21</v>
      </c>
      <c r="B55" s="86" t="s">
        <v>63</v>
      </c>
      <c r="C55" s="86">
        <v>1240200000</v>
      </c>
      <c r="D55" s="86"/>
      <c r="E55" s="87" t="s">
        <v>169</v>
      </c>
      <c r="F55" s="21">
        <f>F56+F61</f>
        <v>115.3</v>
      </c>
      <c r="G55" s="21">
        <f t="shared" ref="G55:H55" si="16">G56+G61</f>
        <v>84</v>
      </c>
      <c r="H55" s="21">
        <f t="shared" si="16"/>
        <v>0</v>
      </c>
    </row>
    <row r="56" spans="1:8">
      <c r="A56" s="86" t="s">
        <v>21</v>
      </c>
      <c r="B56" s="86" t="s">
        <v>63</v>
      </c>
      <c r="C56" s="86">
        <v>1240220340</v>
      </c>
      <c r="D56" s="86"/>
      <c r="E56" s="87" t="s">
        <v>180</v>
      </c>
      <c r="F56" s="21">
        <f>F57+F59</f>
        <v>108.7</v>
      </c>
      <c r="G56" s="21">
        <f t="shared" ref="G56:H56" si="17">G57+G59</f>
        <v>77.400000000000006</v>
      </c>
      <c r="H56" s="21">
        <f t="shared" si="17"/>
        <v>0</v>
      </c>
    </row>
    <row r="57" spans="1:8" ht="31.5">
      <c r="A57" s="86" t="s">
        <v>21</v>
      </c>
      <c r="B57" s="86" t="s">
        <v>63</v>
      </c>
      <c r="C57" s="86">
        <v>1240220340</v>
      </c>
      <c r="D57" s="88" t="s">
        <v>72</v>
      </c>
      <c r="E57" s="87" t="s">
        <v>102</v>
      </c>
      <c r="F57" s="21">
        <f>F58</f>
        <v>78.7</v>
      </c>
      <c r="G57" s="21">
        <f t="shared" ref="G57:H57" si="18">G58</f>
        <v>47.4</v>
      </c>
      <c r="H57" s="21">
        <f t="shared" si="18"/>
        <v>0</v>
      </c>
    </row>
    <row r="58" spans="1:8" ht="31.5">
      <c r="A58" s="86" t="s">
        <v>21</v>
      </c>
      <c r="B58" s="86" t="s">
        <v>63</v>
      </c>
      <c r="C58" s="86">
        <v>1240220340</v>
      </c>
      <c r="D58" s="86">
        <v>240</v>
      </c>
      <c r="E58" s="87" t="s">
        <v>315</v>
      </c>
      <c r="F58" s="21">
        <f>47.4+22.6+8.7</f>
        <v>78.7</v>
      </c>
      <c r="G58" s="21">
        <v>47.4</v>
      </c>
      <c r="H58" s="21">
        <v>0</v>
      </c>
    </row>
    <row r="59" spans="1:8">
      <c r="A59" s="86" t="s">
        <v>21</v>
      </c>
      <c r="B59" s="86" t="s">
        <v>63</v>
      </c>
      <c r="C59" s="86">
        <v>1240220340</v>
      </c>
      <c r="D59" s="88" t="s">
        <v>76</v>
      </c>
      <c r="E59" s="87" t="s">
        <v>77</v>
      </c>
      <c r="F59" s="21">
        <f>F60</f>
        <v>30</v>
      </c>
      <c r="G59" s="21">
        <f t="shared" ref="G59:H59" si="19">G60</f>
        <v>30</v>
      </c>
      <c r="H59" s="21">
        <f t="shared" si="19"/>
        <v>0</v>
      </c>
    </row>
    <row r="60" spans="1:8">
      <c r="A60" s="86" t="s">
        <v>21</v>
      </c>
      <c r="B60" s="86" t="s">
        <v>63</v>
      </c>
      <c r="C60" s="86">
        <v>1240220340</v>
      </c>
      <c r="D60" s="86">
        <v>350</v>
      </c>
      <c r="E60" s="57" t="s">
        <v>181</v>
      </c>
      <c r="F60" s="21">
        <v>30</v>
      </c>
      <c r="G60" s="21">
        <v>30</v>
      </c>
      <c r="H60" s="21">
        <v>0</v>
      </c>
    </row>
    <row r="61" spans="1:8" ht="31.5">
      <c r="A61" s="86" t="s">
        <v>21</v>
      </c>
      <c r="B61" s="86" t="s">
        <v>63</v>
      </c>
      <c r="C61" s="86">
        <v>1240220360</v>
      </c>
      <c r="D61" s="86"/>
      <c r="E61" s="57" t="s">
        <v>324</v>
      </c>
      <c r="F61" s="21">
        <f>F62</f>
        <v>6.6</v>
      </c>
      <c r="G61" s="21">
        <f t="shared" ref="G61:H62" si="20">G62</f>
        <v>6.6</v>
      </c>
      <c r="H61" s="21">
        <f t="shared" si="20"/>
        <v>0</v>
      </c>
    </row>
    <row r="62" spans="1:8">
      <c r="A62" s="86" t="s">
        <v>21</v>
      </c>
      <c r="B62" s="86" t="s">
        <v>63</v>
      </c>
      <c r="C62" s="86">
        <v>1240220360</v>
      </c>
      <c r="D62" s="88" t="s">
        <v>76</v>
      </c>
      <c r="E62" s="87" t="s">
        <v>77</v>
      </c>
      <c r="F62" s="21">
        <f>F63</f>
        <v>6.6</v>
      </c>
      <c r="G62" s="21">
        <f t="shared" si="20"/>
        <v>6.6</v>
      </c>
      <c r="H62" s="21">
        <f t="shared" si="20"/>
        <v>0</v>
      </c>
    </row>
    <row r="63" spans="1:8">
      <c r="A63" s="86" t="s">
        <v>21</v>
      </c>
      <c r="B63" s="86" t="s">
        <v>63</v>
      </c>
      <c r="C63" s="86">
        <v>1240220360</v>
      </c>
      <c r="D63" s="86">
        <v>350</v>
      </c>
      <c r="E63" s="57" t="s">
        <v>181</v>
      </c>
      <c r="F63" s="21">
        <v>6.6</v>
      </c>
      <c r="G63" s="21">
        <v>6.6</v>
      </c>
      <c r="H63" s="21">
        <v>0</v>
      </c>
    </row>
    <row r="64" spans="1:8" ht="31.5">
      <c r="A64" s="86" t="s">
        <v>21</v>
      </c>
      <c r="B64" s="86" t="s">
        <v>63</v>
      </c>
      <c r="C64" s="86">
        <v>1240500000</v>
      </c>
      <c r="D64" s="86"/>
      <c r="E64" s="87" t="s">
        <v>151</v>
      </c>
      <c r="F64" s="21">
        <f>F65+F68</f>
        <v>603.59999999999991</v>
      </c>
      <c r="G64" s="21">
        <f t="shared" ref="G64:H64" si="21">G65+G68</f>
        <v>634.9</v>
      </c>
      <c r="H64" s="21">
        <f t="shared" si="21"/>
        <v>434.9</v>
      </c>
    </row>
    <row r="65" spans="1:8" ht="31.5">
      <c r="A65" s="86" t="s">
        <v>21</v>
      </c>
      <c r="B65" s="86" t="s">
        <v>63</v>
      </c>
      <c r="C65" s="86">
        <v>1240520410</v>
      </c>
      <c r="D65" s="86"/>
      <c r="E65" s="87" t="s">
        <v>256</v>
      </c>
      <c r="F65" s="21">
        <f>F66</f>
        <v>119.5</v>
      </c>
      <c r="G65" s="21">
        <f t="shared" ref="G65:H66" si="22">G66</f>
        <v>119.5</v>
      </c>
      <c r="H65" s="21">
        <f t="shared" si="22"/>
        <v>119.5</v>
      </c>
    </row>
    <row r="66" spans="1:8">
      <c r="A66" s="86" t="s">
        <v>21</v>
      </c>
      <c r="B66" s="86" t="s">
        <v>63</v>
      </c>
      <c r="C66" s="86">
        <v>1240520410</v>
      </c>
      <c r="D66" s="86" t="s">
        <v>73</v>
      </c>
      <c r="E66" s="87" t="s">
        <v>74</v>
      </c>
      <c r="F66" s="21">
        <f>F67</f>
        <v>119.5</v>
      </c>
      <c r="G66" s="21">
        <f t="shared" si="22"/>
        <v>119.5</v>
      </c>
      <c r="H66" s="21">
        <f t="shared" si="22"/>
        <v>119.5</v>
      </c>
    </row>
    <row r="67" spans="1:8">
      <c r="A67" s="86" t="s">
        <v>21</v>
      </c>
      <c r="B67" s="86" t="s">
        <v>63</v>
      </c>
      <c r="C67" s="86">
        <v>1240520410</v>
      </c>
      <c r="D67" s="86">
        <v>850</v>
      </c>
      <c r="E67" s="87" t="s">
        <v>111</v>
      </c>
      <c r="F67" s="21">
        <v>119.5</v>
      </c>
      <c r="G67" s="21">
        <v>119.5</v>
      </c>
      <c r="H67" s="21">
        <v>119.5</v>
      </c>
    </row>
    <row r="68" spans="1:8" ht="31.5">
      <c r="A68" s="86" t="s">
        <v>21</v>
      </c>
      <c r="B68" s="86" t="s">
        <v>63</v>
      </c>
      <c r="C68" s="86">
        <v>1240520460</v>
      </c>
      <c r="D68" s="86"/>
      <c r="E68" s="87" t="s">
        <v>274</v>
      </c>
      <c r="F68" s="21">
        <f>F69</f>
        <v>484.09999999999997</v>
      </c>
      <c r="G68" s="21">
        <f t="shared" ref="G68:H69" si="23">G69</f>
        <v>515.4</v>
      </c>
      <c r="H68" s="21">
        <f t="shared" si="23"/>
        <v>315.39999999999998</v>
      </c>
    </row>
    <row r="69" spans="1:8" ht="31.5">
      <c r="A69" s="86" t="s">
        <v>21</v>
      </c>
      <c r="B69" s="86" t="s">
        <v>63</v>
      </c>
      <c r="C69" s="86">
        <v>1240520460</v>
      </c>
      <c r="D69" s="88" t="s">
        <v>72</v>
      </c>
      <c r="E69" s="87" t="s">
        <v>102</v>
      </c>
      <c r="F69" s="21">
        <f>F70</f>
        <v>484.09999999999997</v>
      </c>
      <c r="G69" s="21">
        <f t="shared" si="23"/>
        <v>515.4</v>
      </c>
      <c r="H69" s="21">
        <f t="shared" si="23"/>
        <v>315.39999999999998</v>
      </c>
    </row>
    <row r="70" spans="1:8" ht="31.5">
      <c r="A70" s="86" t="s">
        <v>21</v>
      </c>
      <c r="B70" s="86" t="s">
        <v>63</v>
      </c>
      <c r="C70" s="86">
        <v>1240520460</v>
      </c>
      <c r="D70" s="86">
        <v>240</v>
      </c>
      <c r="E70" s="87" t="s">
        <v>315</v>
      </c>
      <c r="F70" s="21">
        <f>515.4-22.6-8.7</f>
        <v>484.09999999999997</v>
      </c>
      <c r="G70" s="21">
        <v>515.4</v>
      </c>
      <c r="H70" s="21">
        <v>315.39999999999998</v>
      </c>
    </row>
    <row r="71" spans="1:8" ht="31.5">
      <c r="A71" s="86" t="s">
        <v>21</v>
      </c>
      <c r="B71" s="86" t="s">
        <v>63</v>
      </c>
      <c r="C71" s="88">
        <v>1500000000</v>
      </c>
      <c r="D71" s="86"/>
      <c r="E71" s="87" t="s">
        <v>217</v>
      </c>
      <c r="F71" s="21">
        <f>F72</f>
        <v>114.4</v>
      </c>
      <c r="G71" s="21">
        <f t="shared" ref="G71:H75" si="24">G72</f>
        <v>111.4</v>
      </c>
      <c r="H71" s="21">
        <f t="shared" si="24"/>
        <v>0</v>
      </c>
    </row>
    <row r="72" spans="1:8">
      <c r="A72" s="86" t="s">
        <v>21</v>
      </c>
      <c r="B72" s="86" t="s">
        <v>63</v>
      </c>
      <c r="C72" s="86">
        <v>1510000000</v>
      </c>
      <c r="D72" s="86"/>
      <c r="E72" s="87" t="s">
        <v>183</v>
      </c>
      <c r="F72" s="21">
        <f>F73+F77</f>
        <v>114.4</v>
      </c>
      <c r="G72" s="21">
        <f t="shared" ref="G72:H72" si="25">G73+G77</f>
        <v>111.4</v>
      </c>
      <c r="H72" s="21">
        <f t="shared" si="25"/>
        <v>0</v>
      </c>
    </row>
    <row r="73" spans="1:8" ht="47.25">
      <c r="A73" s="86" t="s">
        <v>21</v>
      </c>
      <c r="B73" s="86" t="s">
        <v>63</v>
      </c>
      <c r="C73" s="86">
        <v>1510200000</v>
      </c>
      <c r="D73" s="86"/>
      <c r="E73" s="87" t="s">
        <v>218</v>
      </c>
      <c r="F73" s="21">
        <f>F74</f>
        <v>111.4</v>
      </c>
      <c r="G73" s="21">
        <f t="shared" si="24"/>
        <v>111.4</v>
      </c>
      <c r="H73" s="21">
        <f t="shared" si="24"/>
        <v>0</v>
      </c>
    </row>
    <row r="74" spans="1:8" ht="31.5">
      <c r="A74" s="86" t="s">
        <v>21</v>
      </c>
      <c r="B74" s="86" t="s">
        <v>63</v>
      </c>
      <c r="C74" s="86">
        <v>1510220170</v>
      </c>
      <c r="D74" s="86"/>
      <c r="E74" s="87" t="s">
        <v>219</v>
      </c>
      <c r="F74" s="21">
        <f>F75</f>
        <v>111.4</v>
      </c>
      <c r="G74" s="21">
        <f t="shared" si="24"/>
        <v>111.4</v>
      </c>
      <c r="H74" s="21">
        <f t="shared" si="24"/>
        <v>0</v>
      </c>
    </row>
    <row r="75" spans="1:8">
      <c r="A75" s="86" t="s">
        <v>21</v>
      </c>
      <c r="B75" s="86" t="s">
        <v>63</v>
      </c>
      <c r="C75" s="86">
        <v>1510220170</v>
      </c>
      <c r="D75" s="88" t="s">
        <v>76</v>
      </c>
      <c r="E75" s="87" t="s">
        <v>77</v>
      </c>
      <c r="F75" s="21">
        <f>F76</f>
        <v>111.4</v>
      </c>
      <c r="G75" s="21">
        <f t="shared" si="24"/>
        <v>111.4</v>
      </c>
      <c r="H75" s="21">
        <f t="shared" si="24"/>
        <v>0</v>
      </c>
    </row>
    <row r="76" spans="1:8">
      <c r="A76" s="86" t="s">
        <v>21</v>
      </c>
      <c r="B76" s="86" t="s">
        <v>63</v>
      </c>
      <c r="C76" s="86">
        <v>1510220170</v>
      </c>
      <c r="D76" s="1" t="s">
        <v>185</v>
      </c>
      <c r="E76" s="57" t="s">
        <v>184</v>
      </c>
      <c r="F76" s="21">
        <v>111.4</v>
      </c>
      <c r="G76" s="21">
        <v>111.4</v>
      </c>
      <c r="H76" s="21">
        <v>0</v>
      </c>
    </row>
    <row r="77" spans="1:8">
      <c r="A77" s="128" t="s">
        <v>21</v>
      </c>
      <c r="B77" s="128" t="s">
        <v>63</v>
      </c>
      <c r="C77" s="128">
        <v>1510300000</v>
      </c>
      <c r="D77" s="1"/>
      <c r="E77" s="129" t="s">
        <v>478</v>
      </c>
      <c r="F77" s="21">
        <f>F78</f>
        <v>3</v>
      </c>
      <c r="G77" s="21">
        <f t="shared" ref="G77:H79" si="26">G78</f>
        <v>0</v>
      </c>
      <c r="H77" s="21">
        <f t="shared" si="26"/>
        <v>0</v>
      </c>
    </row>
    <row r="78" spans="1:8" ht="31.5">
      <c r="A78" s="128" t="s">
        <v>21</v>
      </c>
      <c r="B78" s="128" t="s">
        <v>63</v>
      </c>
      <c r="C78" s="128">
        <v>1510320190</v>
      </c>
      <c r="D78" s="1"/>
      <c r="E78" s="129" t="s">
        <v>479</v>
      </c>
      <c r="F78" s="21">
        <f>F79</f>
        <v>3</v>
      </c>
      <c r="G78" s="21">
        <f t="shared" si="26"/>
        <v>0</v>
      </c>
      <c r="H78" s="21">
        <f t="shared" si="26"/>
        <v>0</v>
      </c>
    </row>
    <row r="79" spans="1:8" ht="31.5">
      <c r="A79" s="128" t="s">
        <v>21</v>
      </c>
      <c r="B79" s="128" t="s">
        <v>63</v>
      </c>
      <c r="C79" s="128">
        <v>1510320190</v>
      </c>
      <c r="D79" s="130" t="s">
        <v>72</v>
      </c>
      <c r="E79" s="129" t="s">
        <v>102</v>
      </c>
      <c r="F79" s="21">
        <f>F80</f>
        <v>3</v>
      </c>
      <c r="G79" s="21">
        <f t="shared" si="26"/>
        <v>0</v>
      </c>
      <c r="H79" s="21">
        <f t="shared" si="26"/>
        <v>0</v>
      </c>
    </row>
    <row r="80" spans="1:8" ht="31.5">
      <c r="A80" s="128" t="s">
        <v>21</v>
      </c>
      <c r="B80" s="128" t="s">
        <v>63</v>
      </c>
      <c r="C80" s="128">
        <v>1510320190</v>
      </c>
      <c r="D80" s="128">
        <v>240</v>
      </c>
      <c r="E80" s="129" t="s">
        <v>315</v>
      </c>
      <c r="F80" s="21">
        <v>3</v>
      </c>
      <c r="G80" s="21">
        <v>0</v>
      </c>
      <c r="H80" s="21">
        <v>0</v>
      </c>
    </row>
    <row r="81" spans="1:8" ht="47.25">
      <c r="A81" s="86" t="s">
        <v>21</v>
      </c>
      <c r="B81" s="86" t="s">
        <v>63</v>
      </c>
      <c r="C81" s="88">
        <v>1600000000</v>
      </c>
      <c r="D81" s="88"/>
      <c r="E81" s="87" t="s">
        <v>125</v>
      </c>
      <c r="F81" s="21">
        <f>F99+F87+F82</f>
        <v>4895.1000000000004</v>
      </c>
      <c r="G81" s="21">
        <f>G99+G87+G82</f>
        <v>5062.1000000000004</v>
      </c>
      <c r="H81" s="21">
        <f>H99+H87+H82</f>
        <v>5021.7</v>
      </c>
    </row>
    <row r="82" spans="1:8" ht="31.5">
      <c r="A82" s="86" t="s">
        <v>21</v>
      </c>
      <c r="B82" s="88" t="s">
        <v>63</v>
      </c>
      <c r="C82" s="88">
        <v>1620000000</v>
      </c>
      <c r="D82" s="88"/>
      <c r="E82" s="87" t="s">
        <v>118</v>
      </c>
      <c r="F82" s="21">
        <f>F83</f>
        <v>2728.8999999999996</v>
      </c>
      <c r="G82" s="21">
        <f t="shared" ref="G82:H82" si="27">G83</f>
        <v>2552.6</v>
      </c>
      <c r="H82" s="21">
        <f t="shared" si="27"/>
        <v>2552.6</v>
      </c>
    </row>
    <row r="83" spans="1:8">
      <c r="A83" s="86" t="s">
        <v>21</v>
      </c>
      <c r="B83" s="88" t="s">
        <v>63</v>
      </c>
      <c r="C83" s="88">
        <v>1620100000</v>
      </c>
      <c r="D83" s="88"/>
      <c r="E83" s="87" t="s">
        <v>119</v>
      </c>
      <c r="F83" s="21">
        <f>F84</f>
        <v>2728.8999999999996</v>
      </c>
      <c r="G83" s="21">
        <f>G84</f>
        <v>2552.6</v>
      </c>
      <c r="H83" s="21">
        <f>H84</f>
        <v>2552.6</v>
      </c>
    </row>
    <row r="84" spans="1:8">
      <c r="A84" s="86" t="s">
        <v>21</v>
      </c>
      <c r="B84" s="88" t="s">
        <v>63</v>
      </c>
      <c r="C84" s="88">
        <v>1620120210</v>
      </c>
      <c r="D84" s="18"/>
      <c r="E84" s="87" t="s">
        <v>120</v>
      </c>
      <c r="F84" s="21">
        <f>F85</f>
        <v>2728.8999999999996</v>
      </c>
      <c r="G84" s="21">
        <f t="shared" ref="G84:H85" si="28">G85</f>
        <v>2552.6</v>
      </c>
      <c r="H84" s="21">
        <f t="shared" si="28"/>
        <v>2552.6</v>
      </c>
    </row>
    <row r="85" spans="1:8" ht="31.5">
      <c r="A85" s="86" t="s">
        <v>21</v>
      </c>
      <c r="B85" s="88" t="s">
        <v>63</v>
      </c>
      <c r="C85" s="88">
        <v>1620120210</v>
      </c>
      <c r="D85" s="88" t="s">
        <v>72</v>
      </c>
      <c r="E85" s="87" t="s">
        <v>102</v>
      </c>
      <c r="F85" s="21">
        <f>F86</f>
        <v>2728.8999999999996</v>
      </c>
      <c r="G85" s="21">
        <f t="shared" si="28"/>
        <v>2552.6</v>
      </c>
      <c r="H85" s="21">
        <f t="shared" si="28"/>
        <v>2552.6</v>
      </c>
    </row>
    <row r="86" spans="1:8" ht="31.5">
      <c r="A86" s="86" t="s">
        <v>21</v>
      </c>
      <c r="B86" s="88" t="s">
        <v>63</v>
      </c>
      <c r="C86" s="88">
        <v>1620120210</v>
      </c>
      <c r="D86" s="86">
        <v>240</v>
      </c>
      <c r="E86" s="87" t="s">
        <v>315</v>
      </c>
      <c r="F86" s="21">
        <f>2552.6+227.1-50.8</f>
        <v>2728.8999999999996</v>
      </c>
      <c r="G86" s="21">
        <v>2552.6</v>
      </c>
      <c r="H86" s="21">
        <v>2552.6</v>
      </c>
    </row>
    <row r="87" spans="1:8" ht="47.25">
      <c r="A87" s="86" t="s">
        <v>21</v>
      </c>
      <c r="B87" s="86" t="s">
        <v>63</v>
      </c>
      <c r="C87" s="88">
        <v>1630000000</v>
      </c>
      <c r="D87" s="86"/>
      <c r="E87" s="87" t="s">
        <v>258</v>
      </c>
      <c r="F87" s="21">
        <f>F88+F95</f>
        <v>2139.7000000000003</v>
      </c>
      <c r="G87" s="21">
        <f>G88+G95</f>
        <v>2483</v>
      </c>
      <c r="H87" s="21">
        <f>H88+H95</f>
        <v>2469.1</v>
      </c>
    </row>
    <row r="88" spans="1:8" ht="47.25">
      <c r="A88" s="86" t="s">
        <v>21</v>
      </c>
      <c r="B88" s="88" t="s">
        <v>63</v>
      </c>
      <c r="C88" s="86">
        <v>1630100000</v>
      </c>
      <c r="D88" s="86"/>
      <c r="E88" s="87" t="s">
        <v>259</v>
      </c>
      <c r="F88" s="21">
        <f>F89+F92</f>
        <v>1891.4</v>
      </c>
      <c r="G88" s="21">
        <f t="shared" ref="G88:H88" si="29">G89+G92</f>
        <v>2291.6999999999998</v>
      </c>
      <c r="H88" s="21">
        <f t="shared" si="29"/>
        <v>2271.6</v>
      </c>
    </row>
    <row r="89" spans="1:8" ht="47.25">
      <c r="A89" s="86" t="s">
        <v>21</v>
      </c>
      <c r="B89" s="86" t="s">
        <v>63</v>
      </c>
      <c r="C89" s="86">
        <v>1630120180</v>
      </c>
      <c r="D89" s="86"/>
      <c r="E89" s="87" t="s">
        <v>260</v>
      </c>
      <c r="F89" s="21">
        <f>F90</f>
        <v>1156.8</v>
      </c>
      <c r="G89" s="21">
        <f t="shared" ref="G89:H90" si="30">G90</f>
        <v>1293.4000000000001</v>
      </c>
      <c r="H89" s="21">
        <f t="shared" si="30"/>
        <v>1345.2</v>
      </c>
    </row>
    <row r="90" spans="1:8" ht="31.5">
      <c r="A90" s="86" t="s">
        <v>21</v>
      </c>
      <c r="B90" s="88" t="s">
        <v>63</v>
      </c>
      <c r="C90" s="86">
        <v>1630120180</v>
      </c>
      <c r="D90" s="86" t="s">
        <v>72</v>
      </c>
      <c r="E90" s="87" t="s">
        <v>102</v>
      </c>
      <c r="F90" s="21">
        <f>F91</f>
        <v>1156.8</v>
      </c>
      <c r="G90" s="21">
        <f t="shared" si="30"/>
        <v>1293.4000000000001</v>
      </c>
      <c r="H90" s="21">
        <f t="shared" si="30"/>
        <v>1345.2</v>
      </c>
    </row>
    <row r="91" spans="1:8" ht="31.5">
      <c r="A91" s="86" t="s">
        <v>21</v>
      </c>
      <c r="B91" s="88" t="s">
        <v>63</v>
      </c>
      <c r="C91" s="86">
        <v>1630120180</v>
      </c>
      <c r="D91" s="86">
        <v>240</v>
      </c>
      <c r="E91" s="87" t="s">
        <v>315</v>
      </c>
      <c r="F91" s="21">
        <f>1186.5-29.7</f>
        <v>1156.8</v>
      </c>
      <c r="G91" s="21">
        <v>1293.4000000000001</v>
      </c>
      <c r="H91" s="21">
        <v>1345.2</v>
      </c>
    </row>
    <row r="92" spans="1:8" ht="47.25">
      <c r="A92" s="86" t="s">
        <v>21</v>
      </c>
      <c r="B92" s="86" t="s">
        <v>63</v>
      </c>
      <c r="C92" s="86">
        <v>1630120520</v>
      </c>
      <c r="D92" s="86"/>
      <c r="E92" s="87" t="s">
        <v>266</v>
      </c>
      <c r="F92" s="21">
        <f>F93</f>
        <v>734.6</v>
      </c>
      <c r="G92" s="21">
        <f t="shared" ref="G92:H93" si="31">G93</f>
        <v>998.3</v>
      </c>
      <c r="H92" s="21">
        <f t="shared" si="31"/>
        <v>926.4</v>
      </c>
    </row>
    <row r="93" spans="1:8" ht="31.5">
      <c r="A93" s="86" t="s">
        <v>21</v>
      </c>
      <c r="B93" s="88" t="s">
        <v>63</v>
      </c>
      <c r="C93" s="86">
        <v>1630120520</v>
      </c>
      <c r="D93" s="86" t="s">
        <v>72</v>
      </c>
      <c r="E93" s="87" t="s">
        <v>102</v>
      </c>
      <c r="F93" s="21">
        <f>F94</f>
        <v>734.6</v>
      </c>
      <c r="G93" s="21">
        <f t="shared" si="31"/>
        <v>998.3</v>
      </c>
      <c r="H93" s="21">
        <f t="shared" si="31"/>
        <v>926.4</v>
      </c>
    </row>
    <row r="94" spans="1:8" ht="31.5">
      <c r="A94" s="86" t="s">
        <v>21</v>
      </c>
      <c r="B94" s="88" t="s">
        <v>63</v>
      </c>
      <c r="C94" s="86">
        <v>1630120520</v>
      </c>
      <c r="D94" s="86">
        <v>240</v>
      </c>
      <c r="E94" s="87" t="s">
        <v>315</v>
      </c>
      <c r="F94" s="21">
        <f>992.2-257.6</f>
        <v>734.6</v>
      </c>
      <c r="G94" s="21">
        <v>998.3</v>
      </c>
      <c r="H94" s="21">
        <v>926.4</v>
      </c>
    </row>
    <row r="95" spans="1:8" ht="47.25">
      <c r="A95" s="86" t="s">
        <v>21</v>
      </c>
      <c r="B95" s="86" t="s">
        <v>63</v>
      </c>
      <c r="C95" s="86">
        <v>1630200000</v>
      </c>
      <c r="D95" s="86"/>
      <c r="E95" s="87" t="s">
        <v>261</v>
      </c>
      <c r="F95" s="21">
        <f>F96</f>
        <v>248.29999999999998</v>
      </c>
      <c r="G95" s="21">
        <f t="shared" ref="G95:H97" si="32">G96</f>
        <v>191.3</v>
      </c>
      <c r="H95" s="21">
        <f t="shared" si="32"/>
        <v>197.5</v>
      </c>
    </row>
    <row r="96" spans="1:8" ht="19.5" customHeight="1">
      <c r="A96" s="86" t="s">
        <v>21</v>
      </c>
      <c r="B96" s="88" t="s">
        <v>63</v>
      </c>
      <c r="C96" s="86">
        <v>1630220530</v>
      </c>
      <c r="D96" s="86"/>
      <c r="E96" s="87" t="s">
        <v>262</v>
      </c>
      <c r="F96" s="21">
        <f>F97</f>
        <v>248.29999999999998</v>
      </c>
      <c r="G96" s="21">
        <f t="shared" si="32"/>
        <v>191.3</v>
      </c>
      <c r="H96" s="21">
        <f t="shared" si="32"/>
        <v>197.5</v>
      </c>
    </row>
    <row r="97" spans="1:8" ht="31.5">
      <c r="A97" s="86" t="s">
        <v>21</v>
      </c>
      <c r="B97" s="88" t="s">
        <v>63</v>
      </c>
      <c r="C97" s="86">
        <v>1630220530</v>
      </c>
      <c r="D97" s="86" t="s">
        <v>72</v>
      </c>
      <c r="E97" s="87" t="s">
        <v>102</v>
      </c>
      <c r="F97" s="21">
        <f>F98</f>
        <v>248.29999999999998</v>
      </c>
      <c r="G97" s="21">
        <f t="shared" si="32"/>
        <v>191.3</v>
      </c>
      <c r="H97" s="21">
        <f t="shared" si="32"/>
        <v>197.5</v>
      </c>
    </row>
    <row r="98" spans="1:8" ht="31.5">
      <c r="A98" s="86" t="s">
        <v>21</v>
      </c>
      <c r="B98" s="86" t="s">
        <v>63</v>
      </c>
      <c r="C98" s="86">
        <v>1630220530</v>
      </c>
      <c r="D98" s="86">
        <v>240</v>
      </c>
      <c r="E98" s="87" t="s">
        <v>315</v>
      </c>
      <c r="F98" s="21">
        <f>268.5-6.8-13.4</f>
        <v>248.29999999999998</v>
      </c>
      <c r="G98" s="21">
        <v>191.3</v>
      </c>
      <c r="H98" s="21">
        <v>197.5</v>
      </c>
    </row>
    <row r="99" spans="1:8" ht="47.25">
      <c r="A99" s="86" t="s">
        <v>21</v>
      </c>
      <c r="B99" s="86" t="s">
        <v>63</v>
      </c>
      <c r="C99" s="88">
        <v>1640000000</v>
      </c>
      <c r="D99" s="1"/>
      <c r="E99" s="57" t="s">
        <v>251</v>
      </c>
      <c r="F99" s="21">
        <f>F100</f>
        <v>26.5</v>
      </c>
      <c r="G99" s="21">
        <f t="shared" ref="G99:H102" si="33">G100</f>
        <v>26.5</v>
      </c>
      <c r="H99" s="21">
        <f t="shared" si="33"/>
        <v>0</v>
      </c>
    </row>
    <row r="100" spans="1:8" ht="31.5">
      <c r="A100" s="86" t="s">
        <v>21</v>
      </c>
      <c r="B100" s="86" t="s">
        <v>63</v>
      </c>
      <c r="C100" s="86">
        <v>1640200000</v>
      </c>
      <c r="D100" s="1"/>
      <c r="E100" s="57" t="s">
        <v>254</v>
      </c>
      <c r="F100" s="21">
        <f>F101</f>
        <v>26.5</v>
      </c>
      <c r="G100" s="21">
        <f t="shared" si="33"/>
        <v>26.5</v>
      </c>
      <c r="H100" s="21">
        <f t="shared" si="33"/>
        <v>0</v>
      </c>
    </row>
    <row r="101" spans="1:8">
      <c r="A101" s="86" t="s">
        <v>21</v>
      </c>
      <c r="B101" s="86" t="s">
        <v>63</v>
      </c>
      <c r="C101" s="86">
        <v>1640220250</v>
      </c>
      <c r="D101" s="1"/>
      <c r="E101" s="57" t="s">
        <v>252</v>
      </c>
      <c r="F101" s="21">
        <f>F102</f>
        <v>26.5</v>
      </c>
      <c r="G101" s="21">
        <f t="shared" si="33"/>
        <v>26.5</v>
      </c>
      <c r="H101" s="21">
        <f t="shared" si="33"/>
        <v>0</v>
      </c>
    </row>
    <row r="102" spans="1:8" ht="31.5">
      <c r="A102" s="86" t="s">
        <v>21</v>
      </c>
      <c r="B102" s="86" t="s">
        <v>63</v>
      </c>
      <c r="C102" s="86">
        <v>1640220250</v>
      </c>
      <c r="D102" s="88" t="s">
        <v>72</v>
      </c>
      <c r="E102" s="87" t="s">
        <v>102</v>
      </c>
      <c r="F102" s="21">
        <f>F103</f>
        <v>26.5</v>
      </c>
      <c r="G102" s="21">
        <f t="shared" si="33"/>
        <v>26.5</v>
      </c>
      <c r="H102" s="21">
        <f t="shared" si="33"/>
        <v>0</v>
      </c>
    </row>
    <row r="103" spans="1:8" ht="31.5">
      <c r="A103" s="86" t="s">
        <v>21</v>
      </c>
      <c r="B103" s="86" t="s">
        <v>63</v>
      </c>
      <c r="C103" s="86">
        <v>1640220250</v>
      </c>
      <c r="D103" s="86">
        <v>240</v>
      </c>
      <c r="E103" s="87" t="s">
        <v>315</v>
      </c>
      <c r="F103" s="21">
        <v>26.5</v>
      </c>
      <c r="G103" s="21">
        <v>26.5</v>
      </c>
      <c r="H103" s="21">
        <v>0</v>
      </c>
    </row>
    <row r="104" spans="1:8">
      <c r="A104" s="86" t="s">
        <v>21</v>
      </c>
      <c r="B104" s="86" t="s">
        <v>63</v>
      </c>
      <c r="C104" s="86">
        <v>9900000000</v>
      </c>
      <c r="D104" s="86"/>
      <c r="E104" s="87" t="s">
        <v>116</v>
      </c>
      <c r="F104" s="21">
        <f>F109+F105</f>
        <v>26712.000000000004</v>
      </c>
      <c r="G104" s="21">
        <f>G109+G105</f>
        <v>29322.3</v>
      </c>
      <c r="H104" s="21">
        <f>H109+H105</f>
        <v>29322.3</v>
      </c>
    </row>
    <row r="105" spans="1:8" ht="31.5">
      <c r="A105" s="86" t="s">
        <v>21</v>
      </c>
      <c r="B105" s="86" t="s">
        <v>63</v>
      </c>
      <c r="C105" s="86">
        <v>9930000000</v>
      </c>
      <c r="D105" s="86"/>
      <c r="E105" s="66" t="s">
        <v>189</v>
      </c>
      <c r="F105" s="21">
        <f>F106</f>
        <v>188.9</v>
      </c>
      <c r="G105" s="21">
        <f t="shared" ref="G105:H107" si="34">G106</f>
        <v>0</v>
      </c>
      <c r="H105" s="21">
        <f t="shared" si="34"/>
        <v>0</v>
      </c>
    </row>
    <row r="106" spans="1:8" ht="31.5">
      <c r="A106" s="86" t="s">
        <v>21</v>
      </c>
      <c r="B106" s="86" t="s">
        <v>63</v>
      </c>
      <c r="C106" s="86">
        <v>9930020490</v>
      </c>
      <c r="D106" s="86"/>
      <c r="E106" s="66" t="s">
        <v>365</v>
      </c>
      <c r="F106" s="21">
        <f>F107</f>
        <v>188.9</v>
      </c>
      <c r="G106" s="21">
        <f t="shared" si="34"/>
        <v>0</v>
      </c>
      <c r="H106" s="21">
        <f t="shared" si="34"/>
        <v>0</v>
      </c>
    </row>
    <row r="107" spans="1:8">
      <c r="A107" s="86" t="s">
        <v>21</v>
      </c>
      <c r="B107" s="86" t="s">
        <v>63</v>
      </c>
      <c r="C107" s="86">
        <v>9930020490</v>
      </c>
      <c r="D107" s="11" t="s">
        <v>73</v>
      </c>
      <c r="E107" s="42" t="s">
        <v>74</v>
      </c>
      <c r="F107" s="21">
        <f>F108</f>
        <v>188.9</v>
      </c>
      <c r="G107" s="21">
        <f t="shared" si="34"/>
        <v>0</v>
      </c>
      <c r="H107" s="21">
        <f t="shared" si="34"/>
        <v>0</v>
      </c>
    </row>
    <row r="108" spans="1:8">
      <c r="A108" s="86" t="s">
        <v>21</v>
      </c>
      <c r="B108" s="86" t="s">
        <v>63</v>
      </c>
      <c r="C108" s="86">
        <v>9930020490</v>
      </c>
      <c r="D108" s="1" t="s">
        <v>366</v>
      </c>
      <c r="E108" s="69" t="s">
        <v>367</v>
      </c>
      <c r="F108" s="21">
        <f>55.8+5.2+4+123.9</f>
        <v>188.9</v>
      </c>
      <c r="G108" s="21">
        <v>0</v>
      </c>
      <c r="H108" s="21">
        <v>0</v>
      </c>
    </row>
    <row r="109" spans="1:8" ht="31.5">
      <c r="A109" s="86" t="s">
        <v>21</v>
      </c>
      <c r="B109" s="86" t="s">
        <v>63</v>
      </c>
      <c r="C109" s="86">
        <v>9990000000</v>
      </c>
      <c r="D109" s="86"/>
      <c r="E109" s="87" t="s">
        <v>176</v>
      </c>
      <c r="F109" s="21">
        <f>F110+F119</f>
        <v>26523.100000000002</v>
      </c>
      <c r="G109" s="21">
        <f>G110+G119</f>
        <v>29322.3</v>
      </c>
      <c r="H109" s="21">
        <f>H110+H119</f>
        <v>29322.3</v>
      </c>
    </row>
    <row r="110" spans="1:8" ht="31.5">
      <c r="A110" s="86" t="s">
        <v>21</v>
      </c>
      <c r="B110" s="86" t="s">
        <v>63</v>
      </c>
      <c r="C110" s="86">
        <v>9990200000</v>
      </c>
      <c r="D110" s="24"/>
      <c r="E110" s="87" t="s">
        <v>129</v>
      </c>
      <c r="F110" s="21">
        <f>F116+F111</f>
        <v>778.19999999999993</v>
      </c>
      <c r="G110" s="21">
        <f t="shared" ref="G110:H110" si="35">G116+G111</f>
        <v>713.9</v>
      </c>
      <c r="H110" s="21">
        <f t="shared" si="35"/>
        <v>713.9</v>
      </c>
    </row>
    <row r="111" spans="1:8" ht="62.25" customHeight="1">
      <c r="A111" s="86" t="s">
        <v>21</v>
      </c>
      <c r="B111" s="86" t="s">
        <v>63</v>
      </c>
      <c r="C111" s="86">
        <v>9990210540</v>
      </c>
      <c r="D111" s="86"/>
      <c r="E111" s="87" t="s">
        <v>186</v>
      </c>
      <c r="F111" s="21">
        <f>F112+F114</f>
        <v>264</v>
      </c>
      <c r="G111" s="21">
        <f>G112+G114</f>
        <v>264</v>
      </c>
      <c r="H111" s="21">
        <f>H112+H114</f>
        <v>264</v>
      </c>
    </row>
    <row r="112" spans="1:8" ht="63">
      <c r="A112" s="86" t="s">
        <v>21</v>
      </c>
      <c r="B112" s="86" t="s">
        <v>63</v>
      </c>
      <c r="C112" s="86">
        <v>9990210540</v>
      </c>
      <c r="D112" s="86" t="s">
        <v>71</v>
      </c>
      <c r="E112" s="87" t="s">
        <v>1</v>
      </c>
      <c r="F112" s="21">
        <f>F113</f>
        <v>256.3</v>
      </c>
      <c r="G112" s="21">
        <f>G113</f>
        <v>256.3</v>
      </c>
      <c r="H112" s="21">
        <f>H113</f>
        <v>256.3</v>
      </c>
    </row>
    <row r="113" spans="1:8" ht="31.5">
      <c r="A113" s="86" t="s">
        <v>21</v>
      </c>
      <c r="B113" s="86" t="s">
        <v>63</v>
      </c>
      <c r="C113" s="86">
        <v>9990210540</v>
      </c>
      <c r="D113" s="86">
        <v>120</v>
      </c>
      <c r="E113" s="87" t="s">
        <v>319</v>
      </c>
      <c r="F113" s="21">
        <v>256.3</v>
      </c>
      <c r="G113" s="21">
        <v>256.3</v>
      </c>
      <c r="H113" s="21">
        <v>256.3</v>
      </c>
    </row>
    <row r="114" spans="1:8" ht="31.5">
      <c r="A114" s="86" t="s">
        <v>21</v>
      </c>
      <c r="B114" s="86" t="s">
        <v>63</v>
      </c>
      <c r="C114" s="86">
        <v>9990210540</v>
      </c>
      <c r="D114" s="86" t="s">
        <v>72</v>
      </c>
      <c r="E114" s="87" t="s">
        <v>102</v>
      </c>
      <c r="F114" s="21">
        <f>F115</f>
        <v>7.7</v>
      </c>
      <c r="G114" s="21">
        <f t="shared" ref="G114:H114" si="36">G115</f>
        <v>7.7</v>
      </c>
      <c r="H114" s="21">
        <f t="shared" si="36"/>
        <v>7.7</v>
      </c>
    </row>
    <row r="115" spans="1:8" ht="31.5">
      <c r="A115" s="86" t="s">
        <v>21</v>
      </c>
      <c r="B115" s="86" t="s">
        <v>63</v>
      </c>
      <c r="C115" s="86">
        <v>9990210540</v>
      </c>
      <c r="D115" s="86">
        <v>240</v>
      </c>
      <c r="E115" s="87" t="s">
        <v>315</v>
      </c>
      <c r="F115" s="21">
        <v>7.7</v>
      </c>
      <c r="G115" s="21">
        <v>7.7</v>
      </c>
      <c r="H115" s="21">
        <v>7.7</v>
      </c>
    </row>
    <row r="116" spans="1:8" ht="47.25">
      <c r="A116" s="86" t="s">
        <v>21</v>
      </c>
      <c r="B116" s="86" t="s">
        <v>63</v>
      </c>
      <c r="C116" s="86">
        <v>9990226000</v>
      </c>
      <c r="D116" s="86"/>
      <c r="E116" s="87" t="s">
        <v>178</v>
      </c>
      <c r="F116" s="21">
        <f>F117</f>
        <v>514.19999999999993</v>
      </c>
      <c r="G116" s="21">
        <f t="shared" ref="G116:H117" si="37">G117</f>
        <v>449.9</v>
      </c>
      <c r="H116" s="21">
        <f t="shared" si="37"/>
        <v>449.9</v>
      </c>
    </row>
    <row r="117" spans="1:8" ht="63">
      <c r="A117" s="86" t="s">
        <v>21</v>
      </c>
      <c r="B117" s="86" t="s">
        <v>63</v>
      </c>
      <c r="C117" s="86">
        <v>9990226000</v>
      </c>
      <c r="D117" s="86" t="s">
        <v>71</v>
      </c>
      <c r="E117" s="87" t="s">
        <v>1</v>
      </c>
      <c r="F117" s="21">
        <f>F118</f>
        <v>514.19999999999993</v>
      </c>
      <c r="G117" s="21">
        <f t="shared" si="37"/>
        <v>449.9</v>
      </c>
      <c r="H117" s="21">
        <f t="shared" si="37"/>
        <v>449.9</v>
      </c>
    </row>
    <row r="118" spans="1:8" ht="31.5">
      <c r="A118" s="86" t="s">
        <v>21</v>
      </c>
      <c r="B118" s="86" t="s">
        <v>63</v>
      </c>
      <c r="C118" s="86">
        <v>9990226000</v>
      </c>
      <c r="D118" s="86">
        <v>120</v>
      </c>
      <c r="E118" s="87" t="s">
        <v>319</v>
      </c>
      <c r="F118" s="21">
        <f>449.9+64.3</f>
        <v>514.19999999999993</v>
      </c>
      <c r="G118" s="21">
        <v>449.9</v>
      </c>
      <c r="H118" s="21">
        <v>449.9</v>
      </c>
    </row>
    <row r="119" spans="1:8" ht="31.5">
      <c r="A119" s="86" t="s">
        <v>21</v>
      </c>
      <c r="B119" s="86" t="s">
        <v>63</v>
      </c>
      <c r="C119" s="86">
        <v>9990300000</v>
      </c>
      <c r="D119" s="86"/>
      <c r="E119" s="87" t="s">
        <v>191</v>
      </c>
      <c r="F119" s="21">
        <f>F120+F122+F124</f>
        <v>25744.9</v>
      </c>
      <c r="G119" s="21">
        <f t="shared" ref="G119:H119" si="38">G120+G122+G124</f>
        <v>28608.399999999998</v>
      </c>
      <c r="H119" s="21">
        <f t="shared" si="38"/>
        <v>28608.399999999998</v>
      </c>
    </row>
    <row r="120" spans="1:8" ht="63">
      <c r="A120" s="86" t="s">
        <v>21</v>
      </c>
      <c r="B120" s="86" t="s">
        <v>63</v>
      </c>
      <c r="C120" s="86">
        <v>9990300000</v>
      </c>
      <c r="D120" s="86" t="s">
        <v>71</v>
      </c>
      <c r="E120" s="87" t="s">
        <v>1</v>
      </c>
      <c r="F120" s="21">
        <f>F121</f>
        <v>19019.599999999999</v>
      </c>
      <c r="G120" s="21">
        <f t="shared" ref="G120:H120" si="39">G121</f>
        <v>20347.599999999999</v>
      </c>
      <c r="H120" s="21">
        <f t="shared" si="39"/>
        <v>20347.599999999999</v>
      </c>
    </row>
    <row r="121" spans="1:8">
      <c r="A121" s="86" t="s">
        <v>21</v>
      </c>
      <c r="B121" s="86" t="s">
        <v>63</v>
      </c>
      <c r="C121" s="86">
        <v>9990300000</v>
      </c>
      <c r="D121" s="86">
        <v>110</v>
      </c>
      <c r="E121" s="57" t="s">
        <v>192</v>
      </c>
      <c r="F121" s="21">
        <f>20377.6-30+218.2+18.8-893.3-149-522.7</f>
        <v>19019.599999999999</v>
      </c>
      <c r="G121" s="21">
        <f>20377.6-30</f>
        <v>20347.599999999999</v>
      </c>
      <c r="H121" s="21">
        <f>20377.6-30</f>
        <v>20347.599999999999</v>
      </c>
    </row>
    <row r="122" spans="1:8" ht="31.5">
      <c r="A122" s="86" t="s">
        <v>21</v>
      </c>
      <c r="B122" s="86" t="s">
        <v>63</v>
      </c>
      <c r="C122" s="86">
        <v>9990300000</v>
      </c>
      <c r="D122" s="86" t="s">
        <v>72</v>
      </c>
      <c r="E122" s="87" t="s">
        <v>102</v>
      </c>
      <c r="F122" s="21">
        <f>F123</f>
        <v>6560.4</v>
      </c>
      <c r="G122" s="21">
        <f t="shared" ref="G122:H122" si="40">G123</f>
        <v>7883.8</v>
      </c>
      <c r="H122" s="21">
        <f t="shared" si="40"/>
        <v>7883.8</v>
      </c>
    </row>
    <row r="123" spans="1:8" ht="31.5">
      <c r="A123" s="86" t="s">
        <v>21</v>
      </c>
      <c r="B123" s="86" t="s">
        <v>63</v>
      </c>
      <c r="C123" s="86">
        <v>9990300000</v>
      </c>
      <c r="D123" s="86">
        <v>240</v>
      </c>
      <c r="E123" s="87" t="s">
        <v>315</v>
      </c>
      <c r="F123" s="21">
        <f>7883.8-20.3-19.2-18.8-1265.1</f>
        <v>6560.4</v>
      </c>
      <c r="G123" s="21">
        <v>7883.8</v>
      </c>
      <c r="H123" s="21">
        <v>7883.8</v>
      </c>
    </row>
    <row r="124" spans="1:8">
      <c r="A124" s="86" t="s">
        <v>21</v>
      </c>
      <c r="B124" s="86" t="s">
        <v>63</v>
      </c>
      <c r="C124" s="86">
        <v>9990300000</v>
      </c>
      <c r="D124" s="86" t="s">
        <v>73</v>
      </c>
      <c r="E124" s="87" t="s">
        <v>74</v>
      </c>
      <c r="F124" s="21">
        <f>F125</f>
        <v>164.9</v>
      </c>
      <c r="G124" s="21">
        <f t="shared" ref="G124:H124" si="41">G125</f>
        <v>377</v>
      </c>
      <c r="H124" s="21">
        <f t="shared" si="41"/>
        <v>377</v>
      </c>
    </row>
    <row r="125" spans="1:8">
      <c r="A125" s="86" t="s">
        <v>21</v>
      </c>
      <c r="B125" s="86" t="s">
        <v>63</v>
      </c>
      <c r="C125" s="86">
        <v>9990300000</v>
      </c>
      <c r="D125" s="86">
        <v>850</v>
      </c>
      <c r="E125" s="87" t="s">
        <v>111</v>
      </c>
      <c r="F125" s="21">
        <f>377-212.1</f>
        <v>164.9</v>
      </c>
      <c r="G125" s="21">
        <v>377</v>
      </c>
      <c r="H125" s="21">
        <v>377</v>
      </c>
    </row>
    <row r="126" spans="1:8">
      <c r="A126" s="86" t="s">
        <v>21</v>
      </c>
      <c r="B126" s="86" t="s">
        <v>58</v>
      </c>
      <c r="C126" s="86" t="s">
        <v>69</v>
      </c>
      <c r="D126" s="86" t="s">
        <v>69</v>
      </c>
      <c r="E126" s="42" t="s">
        <v>26</v>
      </c>
      <c r="F126" s="21">
        <f>F127+F139</f>
        <v>9544.4</v>
      </c>
      <c r="G126" s="21">
        <f t="shared" ref="G126:H126" si="42">G127+G139</f>
        <v>8932.4</v>
      </c>
      <c r="H126" s="21">
        <f t="shared" si="42"/>
        <v>8984.6</v>
      </c>
    </row>
    <row r="127" spans="1:8">
      <c r="A127" s="86" t="s">
        <v>21</v>
      </c>
      <c r="B127" s="86" t="s">
        <v>78</v>
      </c>
      <c r="C127" s="86" t="s">
        <v>69</v>
      </c>
      <c r="D127" s="86" t="s">
        <v>69</v>
      </c>
      <c r="E127" s="87" t="s">
        <v>79</v>
      </c>
      <c r="F127" s="21">
        <f>F128</f>
        <v>2145.5</v>
      </c>
      <c r="G127" s="21">
        <f t="shared" ref="G127:H129" si="43">G128</f>
        <v>1512.9</v>
      </c>
      <c r="H127" s="21">
        <f t="shared" si="43"/>
        <v>1565.1000000000001</v>
      </c>
    </row>
    <row r="128" spans="1:8">
      <c r="A128" s="86" t="s">
        <v>21</v>
      </c>
      <c r="B128" s="86" t="s">
        <v>78</v>
      </c>
      <c r="C128" s="86">
        <v>9900000000</v>
      </c>
      <c r="D128" s="86"/>
      <c r="E128" s="87" t="s">
        <v>116</v>
      </c>
      <c r="F128" s="21">
        <f>F129</f>
        <v>2145.5</v>
      </c>
      <c r="G128" s="21">
        <f t="shared" si="43"/>
        <v>1512.9</v>
      </c>
      <c r="H128" s="21">
        <f t="shared" si="43"/>
        <v>1565.1000000000001</v>
      </c>
    </row>
    <row r="129" spans="1:8" ht="31.5">
      <c r="A129" s="86" t="s">
        <v>21</v>
      </c>
      <c r="B129" s="86" t="s">
        <v>78</v>
      </c>
      <c r="C129" s="86">
        <v>9990000000</v>
      </c>
      <c r="D129" s="86"/>
      <c r="E129" s="87" t="s">
        <v>176</v>
      </c>
      <c r="F129" s="21">
        <f>F130</f>
        <v>2145.5</v>
      </c>
      <c r="G129" s="21">
        <f t="shared" si="43"/>
        <v>1512.9</v>
      </c>
      <c r="H129" s="21">
        <f t="shared" si="43"/>
        <v>1565.1000000000001</v>
      </c>
    </row>
    <row r="130" spans="1:8" ht="31.5">
      <c r="A130" s="86" t="s">
        <v>21</v>
      </c>
      <c r="B130" s="86" t="s">
        <v>78</v>
      </c>
      <c r="C130" s="86">
        <v>9990200000</v>
      </c>
      <c r="D130" s="24"/>
      <c r="E130" s="87" t="s">
        <v>129</v>
      </c>
      <c r="F130" s="21">
        <f>F131+F134</f>
        <v>2145.5</v>
      </c>
      <c r="G130" s="21">
        <f t="shared" ref="G130:H130" si="44">G131+G134</f>
        <v>1512.9</v>
      </c>
      <c r="H130" s="21">
        <f t="shared" si="44"/>
        <v>1565.1000000000001</v>
      </c>
    </row>
    <row r="131" spans="1:8" ht="47.25">
      <c r="A131" s="86" t="s">
        <v>21</v>
      </c>
      <c r="B131" s="86" t="s">
        <v>78</v>
      </c>
      <c r="C131" s="86">
        <v>9990226000</v>
      </c>
      <c r="D131" s="86"/>
      <c r="E131" s="87" t="s">
        <v>178</v>
      </c>
      <c r="F131" s="21">
        <f>F132</f>
        <v>253.1</v>
      </c>
      <c r="G131" s="21">
        <f t="shared" ref="G131:H132" si="45">G132</f>
        <v>131.69999999999999</v>
      </c>
      <c r="H131" s="21">
        <f t="shared" si="45"/>
        <v>131.69999999999999</v>
      </c>
    </row>
    <row r="132" spans="1:8" ht="63">
      <c r="A132" s="86" t="s">
        <v>21</v>
      </c>
      <c r="B132" s="86" t="s">
        <v>78</v>
      </c>
      <c r="C132" s="86">
        <v>9990226000</v>
      </c>
      <c r="D132" s="86" t="s">
        <v>71</v>
      </c>
      <c r="E132" s="87" t="s">
        <v>1</v>
      </c>
      <c r="F132" s="21">
        <f>F133</f>
        <v>253.1</v>
      </c>
      <c r="G132" s="21">
        <f t="shared" si="45"/>
        <v>131.69999999999999</v>
      </c>
      <c r="H132" s="21">
        <f t="shared" si="45"/>
        <v>131.69999999999999</v>
      </c>
    </row>
    <row r="133" spans="1:8" ht="31.5">
      <c r="A133" s="86" t="s">
        <v>21</v>
      </c>
      <c r="B133" s="86" t="s">
        <v>78</v>
      </c>
      <c r="C133" s="86">
        <v>9990226000</v>
      </c>
      <c r="D133" s="86">
        <v>120</v>
      </c>
      <c r="E133" s="87" t="s">
        <v>319</v>
      </c>
      <c r="F133" s="21">
        <f>131.7+121.4</f>
        <v>253.1</v>
      </c>
      <c r="G133" s="21">
        <v>131.69999999999999</v>
      </c>
      <c r="H133" s="21">
        <v>131.69999999999999</v>
      </c>
    </row>
    <row r="134" spans="1:8" ht="31.5">
      <c r="A134" s="86" t="s">
        <v>21</v>
      </c>
      <c r="B134" s="86" t="s">
        <v>78</v>
      </c>
      <c r="C134" s="86">
        <v>9990259300</v>
      </c>
      <c r="D134" s="86"/>
      <c r="E134" s="87" t="s">
        <v>193</v>
      </c>
      <c r="F134" s="21">
        <f>F135+F137</f>
        <v>1892.4</v>
      </c>
      <c r="G134" s="21">
        <f t="shared" ref="G134:H134" si="46">G135+G137</f>
        <v>1381.2</v>
      </c>
      <c r="H134" s="21">
        <f t="shared" si="46"/>
        <v>1433.4</v>
      </c>
    </row>
    <row r="135" spans="1:8" ht="63">
      <c r="A135" s="86" t="s">
        <v>21</v>
      </c>
      <c r="B135" s="86" t="s">
        <v>78</v>
      </c>
      <c r="C135" s="86">
        <v>9990259300</v>
      </c>
      <c r="D135" s="86" t="s">
        <v>71</v>
      </c>
      <c r="E135" s="87" t="s">
        <v>1</v>
      </c>
      <c r="F135" s="21">
        <f>F136</f>
        <v>1316.7</v>
      </c>
      <c r="G135" s="21">
        <f t="shared" ref="G135:H135" si="47">G136</f>
        <v>1212.2</v>
      </c>
      <c r="H135" s="21">
        <f t="shared" si="47"/>
        <v>1212.2</v>
      </c>
    </row>
    <row r="136" spans="1:8" ht="31.5">
      <c r="A136" s="86" t="s">
        <v>21</v>
      </c>
      <c r="B136" s="86" t="s">
        <v>78</v>
      </c>
      <c r="C136" s="86">
        <v>9990259300</v>
      </c>
      <c r="D136" s="86">
        <v>120</v>
      </c>
      <c r="E136" s="87" t="s">
        <v>319</v>
      </c>
      <c r="F136" s="21">
        <f>1212.2-26.7+26.7+104.5</f>
        <v>1316.7</v>
      </c>
      <c r="G136" s="21">
        <v>1212.2</v>
      </c>
      <c r="H136" s="21">
        <v>1212.2</v>
      </c>
    </row>
    <row r="137" spans="1:8" ht="31.5">
      <c r="A137" s="86" t="s">
        <v>21</v>
      </c>
      <c r="B137" s="86" t="s">
        <v>78</v>
      </c>
      <c r="C137" s="86">
        <v>9990259300</v>
      </c>
      <c r="D137" s="86" t="s">
        <v>72</v>
      </c>
      <c r="E137" s="87" t="s">
        <v>102</v>
      </c>
      <c r="F137" s="21">
        <f>F138</f>
        <v>575.70000000000005</v>
      </c>
      <c r="G137" s="21">
        <f t="shared" ref="G137:H137" si="48">G138</f>
        <v>169</v>
      </c>
      <c r="H137" s="21">
        <f t="shared" si="48"/>
        <v>221.2</v>
      </c>
    </row>
    <row r="138" spans="1:8" ht="31.5">
      <c r="A138" s="86" t="s">
        <v>21</v>
      </c>
      <c r="B138" s="86" t="s">
        <v>78</v>
      </c>
      <c r="C138" s="86">
        <v>9990259300</v>
      </c>
      <c r="D138" s="86">
        <v>240</v>
      </c>
      <c r="E138" s="87" t="s">
        <v>315</v>
      </c>
      <c r="F138" s="21">
        <f>114.3+26.7+539.2-104.5</f>
        <v>575.70000000000005</v>
      </c>
      <c r="G138" s="21">
        <v>169</v>
      </c>
      <c r="H138" s="21">
        <v>221.2</v>
      </c>
    </row>
    <row r="139" spans="1:8" ht="31.5">
      <c r="A139" s="86" t="s">
        <v>21</v>
      </c>
      <c r="B139" s="86" t="s">
        <v>50</v>
      </c>
      <c r="C139" s="86"/>
      <c r="D139" s="86"/>
      <c r="E139" s="87" t="s">
        <v>16</v>
      </c>
      <c r="F139" s="21">
        <f t="shared" ref="F139:H144" si="49">F140</f>
        <v>7398.9</v>
      </c>
      <c r="G139" s="21">
        <f t="shared" si="49"/>
        <v>7419.5</v>
      </c>
      <c r="H139" s="21">
        <f t="shared" si="49"/>
        <v>7419.5</v>
      </c>
    </row>
    <row r="140" spans="1:8" ht="31.5">
      <c r="A140" s="86" t="s">
        <v>21</v>
      </c>
      <c r="B140" s="86" t="s">
        <v>50</v>
      </c>
      <c r="C140" s="88">
        <v>1500000000</v>
      </c>
      <c r="D140" s="86"/>
      <c r="E140" s="87" t="s">
        <v>217</v>
      </c>
      <c r="F140" s="21">
        <f t="shared" si="49"/>
        <v>7398.9</v>
      </c>
      <c r="G140" s="21">
        <f t="shared" si="49"/>
        <v>7419.5</v>
      </c>
      <c r="H140" s="21">
        <f t="shared" si="49"/>
        <v>7419.5</v>
      </c>
    </row>
    <row r="141" spans="1:8">
      <c r="A141" s="86" t="s">
        <v>21</v>
      </c>
      <c r="B141" s="86" t="s">
        <v>50</v>
      </c>
      <c r="C141" s="86">
        <v>1510000000</v>
      </c>
      <c r="D141" s="86"/>
      <c r="E141" s="87" t="s">
        <v>183</v>
      </c>
      <c r="F141" s="21">
        <f t="shared" si="49"/>
        <v>7398.9</v>
      </c>
      <c r="G141" s="21">
        <f t="shared" si="49"/>
        <v>7419.5</v>
      </c>
      <c r="H141" s="21">
        <f t="shared" si="49"/>
        <v>7419.5</v>
      </c>
    </row>
    <row r="142" spans="1:8" ht="47.25">
      <c r="A142" s="86" t="s">
        <v>21</v>
      </c>
      <c r="B142" s="86" t="s">
        <v>50</v>
      </c>
      <c r="C142" s="86">
        <v>1510100000</v>
      </c>
      <c r="D142" s="86"/>
      <c r="E142" s="87" t="s">
        <v>220</v>
      </c>
      <c r="F142" s="21">
        <f>F143</f>
        <v>7398.9</v>
      </c>
      <c r="G142" s="21">
        <f t="shared" si="49"/>
        <v>7419.5</v>
      </c>
      <c r="H142" s="21">
        <f t="shared" si="49"/>
        <v>7419.5</v>
      </c>
    </row>
    <row r="143" spans="1:8" ht="31.5">
      <c r="A143" s="86" t="s">
        <v>21</v>
      </c>
      <c r="B143" s="86" t="s">
        <v>50</v>
      </c>
      <c r="C143" s="86">
        <v>1510120010</v>
      </c>
      <c r="D143" s="86"/>
      <c r="E143" s="87" t="s">
        <v>135</v>
      </c>
      <c r="F143" s="21">
        <f t="shared" si="49"/>
        <v>7398.9</v>
      </c>
      <c r="G143" s="21">
        <f t="shared" si="49"/>
        <v>7419.5</v>
      </c>
      <c r="H143" s="21">
        <f t="shared" si="49"/>
        <v>7419.5</v>
      </c>
    </row>
    <row r="144" spans="1:8" ht="31.5">
      <c r="A144" s="86" t="s">
        <v>21</v>
      </c>
      <c r="B144" s="86" t="s">
        <v>50</v>
      </c>
      <c r="C144" s="86">
        <v>1510120010</v>
      </c>
      <c r="D144" s="86">
        <v>600</v>
      </c>
      <c r="E144" s="87" t="s">
        <v>87</v>
      </c>
      <c r="F144" s="21">
        <f t="shared" si="49"/>
        <v>7398.9</v>
      </c>
      <c r="G144" s="21">
        <f t="shared" si="49"/>
        <v>7419.5</v>
      </c>
      <c r="H144" s="21">
        <f t="shared" si="49"/>
        <v>7419.5</v>
      </c>
    </row>
    <row r="145" spans="1:8">
      <c r="A145" s="86" t="s">
        <v>21</v>
      </c>
      <c r="B145" s="86" t="s">
        <v>50</v>
      </c>
      <c r="C145" s="86">
        <v>1510120010</v>
      </c>
      <c r="D145" s="86">
        <v>610</v>
      </c>
      <c r="E145" s="87" t="s">
        <v>115</v>
      </c>
      <c r="F145" s="21">
        <f>7419.5+66.4-87</f>
        <v>7398.9</v>
      </c>
      <c r="G145" s="21">
        <v>7419.5</v>
      </c>
      <c r="H145" s="21">
        <v>7419.5</v>
      </c>
    </row>
    <row r="146" spans="1:8">
      <c r="A146" s="86" t="s">
        <v>21</v>
      </c>
      <c r="B146" s="86" t="s">
        <v>59</v>
      </c>
      <c r="C146" s="86" t="s">
        <v>69</v>
      </c>
      <c r="D146" s="86" t="s">
        <v>69</v>
      </c>
      <c r="E146" s="42" t="s">
        <v>27</v>
      </c>
      <c r="F146" s="21">
        <f>F147+F154+F161+F214</f>
        <v>181502.3</v>
      </c>
      <c r="G146" s="21">
        <f>G147+G154+G161+G214</f>
        <v>18425.3</v>
      </c>
      <c r="H146" s="21">
        <f>H147+H154+H161+H214</f>
        <v>21113.7</v>
      </c>
    </row>
    <row r="147" spans="1:8">
      <c r="A147" s="86" t="s">
        <v>21</v>
      </c>
      <c r="B147" s="17" t="s">
        <v>108</v>
      </c>
      <c r="C147" s="24"/>
      <c r="D147" s="24"/>
      <c r="E147" s="87" t="s">
        <v>109</v>
      </c>
      <c r="F147" s="21">
        <f t="shared" ref="F147:H152" si="50">F148</f>
        <v>275.5</v>
      </c>
      <c r="G147" s="21">
        <f t="shared" si="50"/>
        <v>255.5</v>
      </c>
      <c r="H147" s="21">
        <f t="shared" si="50"/>
        <v>0</v>
      </c>
    </row>
    <row r="148" spans="1:8" ht="30.75" customHeight="1">
      <c r="A148" s="86" t="s">
        <v>21</v>
      </c>
      <c r="B148" s="17" t="s">
        <v>108</v>
      </c>
      <c r="C148" s="88">
        <v>1100000000</v>
      </c>
      <c r="D148" s="24"/>
      <c r="E148" s="87" t="s">
        <v>221</v>
      </c>
      <c r="F148" s="21">
        <f t="shared" si="50"/>
        <v>275.5</v>
      </c>
      <c r="G148" s="21">
        <f t="shared" si="50"/>
        <v>255.5</v>
      </c>
      <c r="H148" s="21">
        <f t="shared" si="50"/>
        <v>0</v>
      </c>
    </row>
    <row r="149" spans="1:8" ht="31.5">
      <c r="A149" s="86" t="s">
        <v>21</v>
      </c>
      <c r="B149" s="17" t="s">
        <v>108</v>
      </c>
      <c r="C149" s="88">
        <v>1130000000</v>
      </c>
      <c r="D149" s="24"/>
      <c r="E149" s="87" t="s">
        <v>126</v>
      </c>
      <c r="F149" s="21">
        <f t="shared" si="50"/>
        <v>275.5</v>
      </c>
      <c r="G149" s="21">
        <f t="shared" si="50"/>
        <v>255.5</v>
      </c>
      <c r="H149" s="21">
        <f t="shared" si="50"/>
        <v>0</v>
      </c>
    </row>
    <row r="150" spans="1:8" ht="47.25">
      <c r="A150" s="86" t="s">
        <v>21</v>
      </c>
      <c r="B150" s="17" t="s">
        <v>108</v>
      </c>
      <c r="C150" s="88">
        <v>1130300000</v>
      </c>
      <c r="D150" s="24"/>
      <c r="E150" s="87" t="s">
        <v>127</v>
      </c>
      <c r="F150" s="21">
        <f t="shared" si="50"/>
        <v>275.5</v>
      </c>
      <c r="G150" s="21">
        <f t="shared" si="50"/>
        <v>255.5</v>
      </c>
      <c r="H150" s="21">
        <f t="shared" si="50"/>
        <v>0</v>
      </c>
    </row>
    <row r="151" spans="1:8" ht="31.5">
      <c r="A151" s="86" t="s">
        <v>21</v>
      </c>
      <c r="B151" s="17" t="s">
        <v>108</v>
      </c>
      <c r="C151" s="88">
        <v>1130320280</v>
      </c>
      <c r="D151" s="24"/>
      <c r="E151" s="87" t="s">
        <v>128</v>
      </c>
      <c r="F151" s="21">
        <f t="shared" si="50"/>
        <v>275.5</v>
      </c>
      <c r="G151" s="21">
        <f t="shared" si="50"/>
        <v>255.5</v>
      </c>
      <c r="H151" s="21">
        <f t="shared" si="50"/>
        <v>0</v>
      </c>
    </row>
    <row r="152" spans="1:8" ht="31.5">
      <c r="A152" s="86" t="s">
        <v>21</v>
      </c>
      <c r="B152" s="17" t="s">
        <v>108</v>
      </c>
      <c r="C152" s="88">
        <v>1130320280</v>
      </c>
      <c r="D152" s="88" t="s">
        <v>104</v>
      </c>
      <c r="E152" s="87" t="s">
        <v>105</v>
      </c>
      <c r="F152" s="21">
        <f t="shared" si="50"/>
        <v>275.5</v>
      </c>
      <c r="G152" s="21">
        <f t="shared" si="50"/>
        <v>255.5</v>
      </c>
      <c r="H152" s="21">
        <f t="shared" si="50"/>
        <v>0</v>
      </c>
    </row>
    <row r="153" spans="1:8">
      <c r="A153" s="86" t="s">
        <v>21</v>
      </c>
      <c r="B153" s="17" t="s">
        <v>108</v>
      </c>
      <c r="C153" s="88">
        <v>1130320280</v>
      </c>
      <c r="D153" s="86">
        <v>610</v>
      </c>
      <c r="E153" s="87" t="s">
        <v>115</v>
      </c>
      <c r="F153" s="21">
        <f>255.5+20</f>
        <v>275.5</v>
      </c>
      <c r="G153" s="21">
        <v>255.5</v>
      </c>
      <c r="H153" s="21">
        <v>0</v>
      </c>
    </row>
    <row r="154" spans="1:8">
      <c r="A154" s="86" t="s">
        <v>21</v>
      </c>
      <c r="B154" s="86" t="s">
        <v>91</v>
      </c>
      <c r="C154" s="86" t="s">
        <v>69</v>
      </c>
      <c r="D154" s="86" t="s">
        <v>69</v>
      </c>
      <c r="E154" s="87" t="s">
        <v>92</v>
      </c>
      <c r="F154" s="21">
        <f t="shared" ref="F154:H159" si="51">F155</f>
        <v>375.4</v>
      </c>
      <c r="G154" s="21">
        <f t="shared" si="51"/>
        <v>385.3</v>
      </c>
      <c r="H154" s="21">
        <f t="shared" si="51"/>
        <v>389.3</v>
      </c>
    </row>
    <row r="155" spans="1:8" ht="47.25">
      <c r="A155" s="86" t="s">
        <v>21</v>
      </c>
      <c r="B155" s="86" t="s">
        <v>91</v>
      </c>
      <c r="C155" s="88">
        <v>1300000000</v>
      </c>
      <c r="D155" s="86"/>
      <c r="E155" s="87" t="s">
        <v>222</v>
      </c>
      <c r="F155" s="21">
        <f t="shared" si="51"/>
        <v>375.4</v>
      </c>
      <c r="G155" s="21">
        <f t="shared" si="51"/>
        <v>385.3</v>
      </c>
      <c r="H155" s="21">
        <f t="shared" si="51"/>
        <v>389.3</v>
      </c>
    </row>
    <row r="156" spans="1:8" ht="31.5">
      <c r="A156" s="86" t="s">
        <v>21</v>
      </c>
      <c r="B156" s="86" t="s">
        <v>91</v>
      </c>
      <c r="C156" s="88">
        <v>1330000000</v>
      </c>
      <c r="D156" s="86"/>
      <c r="E156" s="87" t="s">
        <v>136</v>
      </c>
      <c r="F156" s="21">
        <f t="shared" si="51"/>
        <v>375.4</v>
      </c>
      <c r="G156" s="21">
        <f t="shared" si="51"/>
        <v>385.3</v>
      </c>
      <c r="H156" s="21">
        <f t="shared" si="51"/>
        <v>389.3</v>
      </c>
    </row>
    <row r="157" spans="1:8" ht="31.5">
      <c r="A157" s="86" t="s">
        <v>21</v>
      </c>
      <c r="B157" s="86" t="s">
        <v>91</v>
      </c>
      <c r="C157" s="88">
        <v>1330100000</v>
      </c>
      <c r="D157" s="86"/>
      <c r="E157" s="87" t="s">
        <v>223</v>
      </c>
      <c r="F157" s="21">
        <f t="shared" si="51"/>
        <v>375.4</v>
      </c>
      <c r="G157" s="21">
        <f t="shared" si="51"/>
        <v>385.3</v>
      </c>
      <c r="H157" s="21">
        <f t="shared" si="51"/>
        <v>389.3</v>
      </c>
    </row>
    <row r="158" spans="1:8" ht="78.75">
      <c r="A158" s="86" t="s">
        <v>21</v>
      </c>
      <c r="B158" s="86" t="s">
        <v>91</v>
      </c>
      <c r="C158" s="88">
        <v>1330110550</v>
      </c>
      <c r="D158" s="86"/>
      <c r="E158" s="87" t="s">
        <v>278</v>
      </c>
      <c r="F158" s="21">
        <f t="shared" si="51"/>
        <v>375.4</v>
      </c>
      <c r="G158" s="21">
        <f t="shared" si="51"/>
        <v>385.3</v>
      </c>
      <c r="H158" s="21">
        <f t="shared" si="51"/>
        <v>389.3</v>
      </c>
    </row>
    <row r="159" spans="1:8" ht="31.5">
      <c r="A159" s="86" t="s">
        <v>21</v>
      </c>
      <c r="B159" s="86" t="s">
        <v>91</v>
      </c>
      <c r="C159" s="88">
        <v>1330110550</v>
      </c>
      <c r="D159" s="88" t="s">
        <v>72</v>
      </c>
      <c r="E159" s="87" t="s">
        <v>102</v>
      </c>
      <c r="F159" s="21">
        <f t="shared" si="51"/>
        <v>375.4</v>
      </c>
      <c r="G159" s="21">
        <f t="shared" si="51"/>
        <v>385.3</v>
      </c>
      <c r="H159" s="21">
        <f t="shared" si="51"/>
        <v>389.3</v>
      </c>
    </row>
    <row r="160" spans="1:8" ht="31.5">
      <c r="A160" s="86" t="s">
        <v>21</v>
      </c>
      <c r="B160" s="86" t="s">
        <v>91</v>
      </c>
      <c r="C160" s="88">
        <v>1330110550</v>
      </c>
      <c r="D160" s="86">
        <v>240</v>
      </c>
      <c r="E160" s="87" t="s">
        <v>315</v>
      </c>
      <c r="F160" s="21">
        <v>375.4</v>
      </c>
      <c r="G160" s="21">
        <v>385.3</v>
      </c>
      <c r="H160" s="21">
        <v>389.3</v>
      </c>
    </row>
    <row r="161" spans="1:8">
      <c r="A161" s="86" t="s">
        <v>21</v>
      </c>
      <c r="B161" s="86" t="s">
        <v>7</v>
      </c>
      <c r="C161" s="86" t="s">
        <v>69</v>
      </c>
      <c r="D161" s="86" t="s">
        <v>69</v>
      </c>
      <c r="E161" s="87" t="s">
        <v>96</v>
      </c>
      <c r="F161" s="21">
        <f>F162+F207</f>
        <v>178199.19999999998</v>
      </c>
      <c r="G161" s="21">
        <f>G162+G207</f>
        <v>15143.7</v>
      </c>
      <c r="H161" s="21">
        <f>H162+H207</f>
        <v>18490</v>
      </c>
    </row>
    <row r="162" spans="1:8" ht="47.25">
      <c r="A162" s="86" t="s">
        <v>21</v>
      </c>
      <c r="B162" s="86" t="s">
        <v>7</v>
      </c>
      <c r="C162" s="88">
        <v>1400000000</v>
      </c>
      <c r="D162" s="86"/>
      <c r="E162" s="87" t="s">
        <v>224</v>
      </c>
      <c r="F162" s="21">
        <f>F163+F188</f>
        <v>169313.9</v>
      </c>
      <c r="G162" s="21">
        <f>G163+G188</f>
        <v>15143.7</v>
      </c>
      <c r="H162" s="21">
        <f>H163+H188</f>
        <v>18490</v>
      </c>
    </row>
    <row r="163" spans="1:8">
      <c r="A163" s="86" t="s">
        <v>21</v>
      </c>
      <c r="B163" s="86" t="s">
        <v>7</v>
      </c>
      <c r="C163" s="88">
        <v>1410000000</v>
      </c>
      <c r="D163" s="86"/>
      <c r="E163" s="87" t="s">
        <v>137</v>
      </c>
      <c r="F163" s="21">
        <f>F164+F168+F178</f>
        <v>165034.29999999999</v>
      </c>
      <c r="G163" s="21">
        <f t="shared" ref="G163:H163" si="52">G164+G168+G178</f>
        <v>14543.7</v>
      </c>
      <c r="H163" s="21">
        <f t="shared" si="52"/>
        <v>18490</v>
      </c>
    </row>
    <row r="164" spans="1:8">
      <c r="A164" s="86" t="s">
        <v>21</v>
      </c>
      <c r="B164" s="86" t="s">
        <v>7</v>
      </c>
      <c r="C164" s="88">
        <v>1410100000</v>
      </c>
      <c r="D164" s="24"/>
      <c r="E164" s="87" t="s">
        <v>225</v>
      </c>
      <c r="F164" s="21">
        <f>F165</f>
        <v>23549.1</v>
      </c>
      <c r="G164" s="21">
        <f t="shared" ref="G164:H166" si="53">G165</f>
        <v>14543.7</v>
      </c>
      <c r="H164" s="21">
        <f t="shared" si="53"/>
        <v>18490</v>
      </c>
    </row>
    <row r="165" spans="1:8" ht="31.5">
      <c r="A165" s="86" t="s">
        <v>21</v>
      </c>
      <c r="B165" s="86" t="s">
        <v>7</v>
      </c>
      <c r="C165" s="86">
        <v>1410120100</v>
      </c>
      <c r="D165" s="86"/>
      <c r="E165" s="87" t="s">
        <v>138</v>
      </c>
      <c r="F165" s="21">
        <f>F166</f>
        <v>23549.1</v>
      </c>
      <c r="G165" s="21">
        <f t="shared" si="53"/>
        <v>14543.7</v>
      </c>
      <c r="H165" s="21">
        <f t="shared" si="53"/>
        <v>18490</v>
      </c>
    </row>
    <row r="166" spans="1:8" ht="31.5">
      <c r="A166" s="86" t="s">
        <v>21</v>
      </c>
      <c r="B166" s="86" t="s">
        <v>7</v>
      </c>
      <c r="C166" s="86">
        <v>1410120100</v>
      </c>
      <c r="D166" s="88" t="s">
        <v>72</v>
      </c>
      <c r="E166" s="87" t="s">
        <v>102</v>
      </c>
      <c r="F166" s="21">
        <f>F167</f>
        <v>23549.1</v>
      </c>
      <c r="G166" s="21">
        <f t="shared" si="53"/>
        <v>14543.7</v>
      </c>
      <c r="H166" s="21">
        <f t="shared" si="53"/>
        <v>18490</v>
      </c>
    </row>
    <row r="167" spans="1:8" ht="31.5">
      <c r="A167" s="86" t="s">
        <v>21</v>
      </c>
      <c r="B167" s="86" t="s">
        <v>7</v>
      </c>
      <c r="C167" s="86">
        <v>1410120100</v>
      </c>
      <c r="D167" s="86">
        <v>240</v>
      </c>
      <c r="E167" s="87" t="s">
        <v>315</v>
      </c>
      <c r="F167" s="21">
        <f>21773.7+300+78.8+1400-3.4</f>
        <v>23549.1</v>
      </c>
      <c r="G167" s="21">
        <f>18980.9-9897+5459.8</f>
        <v>14543.7</v>
      </c>
      <c r="H167" s="21">
        <f>18980.9-10180.9+9690</f>
        <v>18490</v>
      </c>
    </row>
    <row r="168" spans="1:8" ht="47.25">
      <c r="A168" s="86" t="s">
        <v>21</v>
      </c>
      <c r="B168" s="86" t="s">
        <v>7</v>
      </c>
      <c r="C168" s="88">
        <v>1410200000</v>
      </c>
      <c r="D168" s="86"/>
      <c r="E168" s="87" t="s">
        <v>226</v>
      </c>
      <c r="F168" s="21">
        <f>F175+F172+F169</f>
        <v>133243.79999999999</v>
      </c>
      <c r="G168" s="21">
        <f t="shared" ref="G168:H168" si="54">G175+G172+G169</f>
        <v>0</v>
      </c>
      <c r="H168" s="21">
        <f t="shared" si="54"/>
        <v>0</v>
      </c>
    </row>
    <row r="169" spans="1:8" ht="31.5">
      <c r="A169" s="86" t="s">
        <v>21</v>
      </c>
      <c r="B169" s="86" t="s">
        <v>7</v>
      </c>
      <c r="C169" s="86">
        <v>1410211050</v>
      </c>
      <c r="D169" s="86"/>
      <c r="E169" s="87" t="s">
        <v>376</v>
      </c>
      <c r="F169" s="21">
        <f>F170</f>
        <v>92665.299999999974</v>
      </c>
      <c r="G169" s="21">
        <f t="shared" ref="G169:H170" si="55">G170</f>
        <v>0</v>
      </c>
      <c r="H169" s="21">
        <f t="shared" si="55"/>
        <v>0</v>
      </c>
    </row>
    <row r="170" spans="1:8" ht="31.5">
      <c r="A170" s="86" t="s">
        <v>21</v>
      </c>
      <c r="B170" s="86" t="s">
        <v>7</v>
      </c>
      <c r="C170" s="86">
        <v>1410211050</v>
      </c>
      <c r="D170" s="88" t="s">
        <v>72</v>
      </c>
      <c r="E170" s="87" t="s">
        <v>102</v>
      </c>
      <c r="F170" s="21">
        <f>F171</f>
        <v>92665.299999999974</v>
      </c>
      <c r="G170" s="21">
        <f t="shared" si="55"/>
        <v>0</v>
      </c>
      <c r="H170" s="21">
        <f t="shared" si="55"/>
        <v>0</v>
      </c>
    </row>
    <row r="171" spans="1:8" ht="31.5">
      <c r="A171" s="86" t="s">
        <v>21</v>
      </c>
      <c r="B171" s="86" t="s">
        <v>7</v>
      </c>
      <c r="C171" s="86">
        <v>1410211050</v>
      </c>
      <c r="D171" s="86">
        <v>240</v>
      </c>
      <c r="E171" s="87" t="s">
        <v>315</v>
      </c>
      <c r="F171" s="21">
        <f>195900.3-11353.2-91881.8</f>
        <v>92665.299999999974</v>
      </c>
      <c r="G171" s="21">
        <v>0</v>
      </c>
      <c r="H171" s="21">
        <v>0</v>
      </c>
    </row>
    <row r="172" spans="1:8">
      <c r="A172" s="86" t="s">
        <v>21</v>
      </c>
      <c r="B172" s="86" t="s">
        <v>7</v>
      </c>
      <c r="C172" s="86">
        <v>1410220110</v>
      </c>
      <c r="D172" s="86"/>
      <c r="E172" s="66" t="s">
        <v>355</v>
      </c>
      <c r="F172" s="21">
        <f>F173</f>
        <v>499.59999999999997</v>
      </c>
      <c r="G172" s="21">
        <f t="shared" ref="G172:H173" si="56">G173</f>
        <v>0</v>
      </c>
      <c r="H172" s="21">
        <f t="shared" si="56"/>
        <v>0</v>
      </c>
    </row>
    <row r="173" spans="1:8" ht="31.5">
      <c r="A173" s="86" t="s">
        <v>21</v>
      </c>
      <c r="B173" s="86" t="s">
        <v>7</v>
      </c>
      <c r="C173" s="86">
        <v>1410220110</v>
      </c>
      <c r="D173" s="88" t="s">
        <v>72</v>
      </c>
      <c r="E173" s="66" t="s">
        <v>102</v>
      </c>
      <c r="F173" s="21">
        <f>F174</f>
        <v>499.59999999999997</v>
      </c>
      <c r="G173" s="21">
        <f t="shared" si="56"/>
        <v>0</v>
      </c>
      <c r="H173" s="21">
        <f t="shared" si="56"/>
        <v>0</v>
      </c>
    </row>
    <row r="174" spans="1:8" ht="31.5">
      <c r="A174" s="86" t="s">
        <v>21</v>
      </c>
      <c r="B174" s="86" t="s">
        <v>7</v>
      </c>
      <c r="C174" s="86">
        <v>1410220110</v>
      </c>
      <c r="D174" s="86">
        <v>240</v>
      </c>
      <c r="E174" s="66" t="s">
        <v>315</v>
      </c>
      <c r="F174" s="21">
        <f>99.9+100+599.4-299.7</f>
        <v>499.59999999999997</v>
      </c>
      <c r="G174" s="21">
        <v>0</v>
      </c>
      <c r="H174" s="21">
        <v>0</v>
      </c>
    </row>
    <row r="175" spans="1:8" ht="31.5">
      <c r="A175" s="86" t="s">
        <v>21</v>
      </c>
      <c r="B175" s="86" t="s">
        <v>7</v>
      </c>
      <c r="C175" s="86" t="s">
        <v>286</v>
      </c>
      <c r="D175" s="86"/>
      <c r="E175" s="87" t="s">
        <v>285</v>
      </c>
      <c r="F175" s="21">
        <f>F176</f>
        <v>40078.9</v>
      </c>
      <c r="G175" s="21">
        <f t="shared" ref="G175:H176" si="57">G176</f>
        <v>0</v>
      </c>
      <c r="H175" s="21">
        <f t="shared" si="57"/>
        <v>0</v>
      </c>
    </row>
    <row r="176" spans="1:8" ht="31.5">
      <c r="A176" s="86" t="s">
        <v>21</v>
      </c>
      <c r="B176" s="86" t="s">
        <v>7</v>
      </c>
      <c r="C176" s="86" t="s">
        <v>286</v>
      </c>
      <c r="D176" s="88" t="s">
        <v>72</v>
      </c>
      <c r="E176" s="87" t="s">
        <v>102</v>
      </c>
      <c r="F176" s="21">
        <f>F177</f>
        <v>40078.9</v>
      </c>
      <c r="G176" s="21">
        <f t="shared" si="57"/>
        <v>0</v>
      </c>
      <c r="H176" s="21">
        <f t="shared" si="57"/>
        <v>0</v>
      </c>
    </row>
    <row r="177" spans="1:8" ht="31.5">
      <c r="A177" s="86" t="s">
        <v>21</v>
      </c>
      <c r="B177" s="86" t="s">
        <v>7</v>
      </c>
      <c r="C177" s="86" t="s">
        <v>286</v>
      </c>
      <c r="D177" s="86">
        <v>240</v>
      </c>
      <c r="E177" s="87" t="s">
        <v>315</v>
      </c>
      <c r="F177" s="21">
        <f>2696.2+40051.8-192.1-2477</f>
        <v>40078.9</v>
      </c>
      <c r="G177" s="21">
        <v>0</v>
      </c>
      <c r="H177" s="21">
        <v>0</v>
      </c>
    </row>
    <row r="178" spans="1:8" ht="47.25">
      <c r="A178" s="86" t="s">
        <v>21</v>
      </c>
      <c r="B178" s="86" t="s">
        <v>7</v>
      </c>
      <c r="C178" s="86">
        <v>1410300000</v>
      </c>
      <c r="D178" s="86"/>
      <c r="E178" s="87" t="s">
        <v>357</v>
      </c>
      <c r="F178" s="21">
        <f>F185+F179+F182</f>
        <v>8241.4</v>
      </c>
      <c r="G178" s="21">
        <f t="shared" ref="G178:H178" si="58">G185+G179+G182</f>
        <v>0</v>
      </c>
      <c r="H178" s="21">
        <f t="shared" si="58"/>
        <v>0</v>
      </c>
    </row>
    <row r="179" spans="1:8" ht="47.25">
      <c r="A179" s="86" t="s">
        <v>21</v>
      </c>
      <c r="B179" s="86" t="s">
        <v>7</v>
      </c>
      <c r="C179" s="86">
        <v>1410311020</v>
      </c>
      <c r="D179" s="86"/>
      <c r="E179" s="87" t="s">
        <v>377</v>
      </c>
      <c r="F179" s="21">
        <f>F180</f>
        <v>5726.2</v>
      </c>
      <c r="G179" s="21">
        <f t="shared" ref="G179:H180" si="59">G180</f>
        <v>0</v>
      </c>
      <c r="H179" s="21">
        <f t="shared" si="59"/>
        <v>0</v>
      </c>
    </row>
    <row r="180" spans="1:8" ht="31.5">
      <c r="A180" s="86" t="s">
        <v>21</v>
      </c>
      <c r="B180" s="86" t="s">
        <v>7</v>
      </c>
      <c r="C180" s="86">
        <v>1410311020</v>
      </c>
      <c r="D180" s="88" t="s">
        <v>72</v>
      </c>
      <c r="E180" s="87" t="s">
        <v>102</v>
      </c>
      <c r="F180" s="21">
        <f>F181</f>
        <v>5726.2</v>
      </c>
      <c r="G180" s="21">
        <f t="shared" si="59"/>
        <v>0</v>
      </c>
      <c r="H180" s="21">
        <f t="shared" si="59"/>
        <v>0</v>
      </c>
    </row>
    <row r="181" spans="1:8" ht="31.5">
      <c r="A181" s="86" t="s">
        <v>21</v>
      </c>
      <c r="B181" s="86" t="s">
        <v>7</v>
      </c>
      <c r="C181" s="86">
        <v>1410311020</v>
      </c>
      <c r="D181" s="86">
        <v>240</v>
      </c>
      <c r="E181" s="87" t="s">
        <v>315</v>
      </c>
      <c r="F181" s="21">
        <v>5726.2</v>
      </c>
      <c r="G181" s="21">
        <v>0</v>
      </c>
      <c r="H181" s="21">
        <v>0</v>
      </c>
    </row>
    <row r="182" spans="1:8">
      <c r="A182" s="86" t="s">
        <v>21</v>
      </c>
      <c r="B182" s="86" t="s">
        <v>7</v>
      </c>
      <c r="C182" s="86">
        <v>1410320110</v>
      </c>
      <c r="D182" s="86"/>
      <c r="E182" s="66" t="s">
        <v>355</v>
      </c>
      <c r="F182" s="21">
        <f>F183</f>
        <v>99.9</v>
      </c>
      <c r="G182" s="21">
        <f t="shared" ref="G182:H183" si="60">G183</f>
        <v>0</v>
      </c>
      <c r="H182" s="21">
        <f t="shared" si="60"/>
        <v>0</v>
      </c>
    </row>
    <row r="183" spans="1:8" ht="31.5">
      <c r="A183" s="86" t="s">
        <v>21</v>
      </c>
      <c r="B183" s="86" t="s">
        <v>7</v>
      </c>
      <c r="C183" s="86">
        <v>1410320110</v>
      </c>
      <c r="D183" s="88" t="s">
        <v>72</v>
      </c>
      <c r="E183" s="87" t="s">
        <v>102</v>
      </c>
      <c r="F183" s="21">
        <f>F184</f>
        <v>99.9</v>
      </c>
      <c r="G183" s="21">
        <f t="shared" si="60"/>
        <v>0</v>
      </c>
      <c r="H183" s="21">
        <f t="shared" si="60"/>
        <v>0</v>
      </c>
    </row>
    <row r="184" spans="1:8" ht="31.5">
      <c r="A184" s="86" t="s">
        <v>21</v>
      </c>
      <c r="B184" s="86" t="s">
        <v>7</v>
      </c>
      <c r="C184" s="86">
        <v>1410320110</v>
      </c>
      <c r="D184" s="86">
        <v>240</v>
      </c>
      <c r="E184" s="87" t="s">
        <v>315</v>
      </c>
      <c r="F184" s="21">
        <v>99.9</v>
      </c>
      <c r="G184" s="21">
        <v>0</v>
      </c>
      <c r="H184" s="21">
        <v>0</v>
      </c>
    </row>
    <row r="185" spans="1:8" ht="47.25">
      <c r="A185" s="86" t="s">
        <v>21</v>
      </c>
      <c r="B185" s="86" t="s">
        <v>7</v>
      </c>
      <c r="C185" s="86" t="s">
        <v>358</v>
      </c>
      <c r="D185" s="86"/>
      <c r="E185" s="87" t="s">
        <v>359</v>
      </c>
      <c r="F185" s="21">
        <f>F186</f>
        <v>2415.3000000000002</v>
      </c>
      <c r="G185" s="21">
        <f t="shared" ref="G185:H186" si="61">G186</f>
        <v>0</v>
      </c>
      <c r="H185" s="21">
        <f t="shared" si="61"/>
        <v>0</v>
      </c>
    </row>
    <row r="186" spans="1:8" ht="31.5">
      <c r="A186" s="86" t="s">
        <v>21</v>
      </c>
      <c r="B186" s="86" t="s">
        <v>7</v>
      </c>
      <c r="C186" s="86" t="s">
        <v>358</v>
      </c>
      <c r="D186" s="88" t="s">
        <v>72</v>
      </c>
      <c r="E186" s="87" t="s">
        <v>102</v>
      </c>
      <c r="F186" s="21">
        <f>F187</f>
        <v>2415.3000000000002</v>
      </c>
      <c r="G186" s="21">
        <f t="shared" si="61"/>
        <v>0</v>
      </c>
      <c r="H186" s="21">
        <f t="shared" si="61"/>
        <v>0</v>
      </c>
    </row>
    <row r="187" spans="1:8" ht="31.5">
      <c r="A187" s="86" t="s">
        <v>21</v>
      </c>
      <c r="B187" s="86" t="s">
        <v>7</v>
      </c>
      <c r="C187" s="86" t="s">
        <v>358</v>
      </c>
      <c r="D187" s="86">
        <v>240</v>
      </c>
      <c r="E187" s="87" t="s">
        <v>315</v>
      </c>
      <c r="F187" s="21">
        <f>1431.5+983.8</f>
        <v>2415.3000000000002</v>
      </c>
      <c r="G187" s="21">
        <v>0</v>
      </c>
      <c r="H187" s="21">
        <v>0</v>
      </c>
    </row>
    <row r="188" spans="1:8">
      <c r="A188" s="86" t="s">
        <v>21</v>
      </c>
      <c r="B188" s="86" t="s">
        <v>7</v>
      </c>
      <c r="C188" s="88">
        <v>1420000000</v>
      </c>
      <c r="D188" s="86"/>
      <c r="E188" s="87" t="s">
        <v>139</v>
      </c>
      <c r="F188" s="21">
        <f>F189+F203+F196</f>
        <v>4279.6000000000004</v>
      </c>
      <c r="G188" s="21">
        <f t="shared" ref="G188:H188" si="62">G189+G203+G196</f>
        <v>600</v>
      </c>
      <c r="H188" s="21">
        <f t="shared" si="62"/>
        <v>0</v>
      </c>
    </row>
    <row r="189" spans="1:8" ht="31.5">
      <c r="A189" s="86" t="s">
        <v>21</v>
      </c>
      <c r="B189" s="86" t="s">
        <v>7</v>
      </c>
      <c r="C189" s="88">
        <v>1420100000</v>
      </c>
      <c r="D189" s="86"/>
      <c r="E189" s="87" t="s">
        <v>227</v>
      </c>
      <c r="F189" s="21">
        <f>F190+F193</f>
        <v>1220.1000000000001</v>
      </c>
      <c r="G189" s="21">
        <f t="shared" ref="G189:H189" si="63">G190+G193</f>
        <v>600</v>
      </c>
      <c r="H189" s="21">
        <f t="shared" si="63"/>
        <v>0</v>
      </c>
    </row>
    <row r="190" spans="1:8" ht="47.25">
      <c r="A190" s="86" t="s">
        <v>21</v>
      </c>
      <c r="B190" s="86" t="s">
        <v>7</v>
      </c>
      <c r="C190" s="86">
        <v>1420120110</v>
      </c>
      <c r="D190" s="86"/>
      <c r="E190" s="87" t="s">
        <v>412</v>
      </c>
      <c r="F190" s="21">
        <f>F191</f>
        <v>123.4</v>
      </c>
      <c r="G190" s="21">
        <f t="shared" ref="G190:H191" si="64">G191</f>
        <v>0</v>
      </c>
      <c r="H190" s="21">
        <f t="shared" si="64"/>
        <v>0</v>
      </c>
    </row>
    <row r="191" spans="1:8" ht="31.5">
      <c r="A191" s="86" t="s">
        <v>21</v>
      </c>
      <c r="B191" s="86" t="s">
        <v>7</v>
      </c>
      <c r="C191" s="86">
        <v>1420120110</v>
      </c>
      <c r="D191" s="88" t="s">
        <v>72</v>
      </c>
      <c r="E191" s="87" t="s">
        <v>102</v>
      </c>
      <c r="F191" s="21">
        <f>F192</f>
        <v>123.4</v>
      </c>
      <c r="G191" s="21">
        <f t="shared" si="64"/>
        <v>0</v>
      </c>
      <c r="H191" s="21">
        <f t="shared" si="64"/>
        <v>0</v>
      </c>
    </row>
    <row r="192" spans="1:8" ht="31.5">
      <c r="A192" s="86" t="s">
        <v>21</v>
      </c>
      <c r="B192" s="86" t="s">
        <v>7</v>
      </c>
      <c r="C192" s="86">
        <v>1420120110</v>
      </c>
      <c r="D192" s="86">
        <v>240</v>
      </c>
      <c r="E192" s="87" t="s">
        <v>315</v>
      </c>
      <c r="F192" s="21">
        <f>120+3.4</f>
        <v>123.4</v>
      </c>
      <c r="G192" s="21">
        <v>0</v>
      </c>
      <c r="H192" s="21">
        <v>0</v>
      </c>
    </row>
    <row r="193" spans="1:11">
      <c r="A193" s="86" t="s">
        <v>21</v>
      </c>
      <c r="B193" s="86" t="s">
        <v>7</v>
      </c>
      <c r="C193" s="86">
        <v>1420120120</v>
      </c>
      <c r="D193" s="86"/>
      <c r="E193" s="87" t="s">
        <v>140</v>
      </c>
      <c r="F193" s="21">
        <f>F194</f>
        <v>1096.7</v>
      </c>
      <c r="G193" s="21">
        <f t="shared" ref="G193:H194" si="65">G194</f>
        <v>600</v>
      </c>
      <c r="H193" s="21">
        <f t="shared" si="65"/>
        <v>0</v>
      </c>
    </row>
    <row r="194" spans="1:11" ht="31.5">
      <c r="A194" s="86" t="s">
        <v>21</v>
      </c>
      <c r="B194" s="86" t="s">
        <v>7</v>
      </c>
      <c r="C194" s="86">
        <v>1420120120</v>
      </c>
      <c r="D194" s="88" t="s">
        <v>72</v>
      </c>
      <c r="E194" s="87" t="s">
        <v>102</v>
      </c>
      <c r="F194" s="21">
        <f>F195</f>
        <v>1096.7</v>
      </c>
      <c r="G194" s="21">
        <f t="shared" si="65"/>
        <v>600</v>
      </c>
      <c r="H194" s="21">
        <f t="shared" si="65"/>
        <v>0</v>
      </c>
    </row>
    <row r="195" spans="1:11" ht="31.5">
      <c r="A195" s="86" t="s">
        <v>21</v>
      </c>
      <c r="B195" s="86" t="s">
        <v>7</v>
      </c>
      <c r="C195" s="86">
        <v>1420120120</v>
      </c>
      <c r="D195" s="86">
        <v>240</v>
      </c>
      <c r="E195" s="87" t="s">
        <v>315</v>
      </c>
      <c r="F195" s="21">
        <f>3500-660.5-1112.6-630.2</f>
        <v>1096.7</v>
      </c>
      <c r="G195" s="21">
        <f>3500-2900</f>
        <v>600</v>
      </c>
      <c r="H195" s="21">
        <v>0</v>
      </c>
    </row>
    <row r="196" spans="1:11" ht="47.25">
      <c r="A196" s="93" t="s">
        <v>21</v>
      </c>
      <c r="B196" s="93" t="s">
        <v>7</v>
      </c>
      <c r="C196" s="93" t="s">
        <v>426</v>
      </c>
      <c r="D196" s="93"/>
      <c r="E196" s="94" t="s">
        <v>427</v>
      </c>
      <c r="F196" s="21">
        <f>F197+F200</f>
        <v>2859.7</v>
      </c>
      <c r="G196" s="21">
        <f t="shared" ref="G196:H196" si="66">G197+G200</f>
        <v>0</v>
      </c>
      <c r="H196" s="21">
        <f t="shared" si="66"/>
        <v>0</v>
      </c>
    </row>
    <row r="197" spans="1:11" ht="63">
      <c r="A197" s="86" t="s">
        <v>21</v>
      </c>
      <c r="B197" s="86" t="s">
        <v>7</v>
      </c>
      <c r="C197" s="86" t="s">
        <v>421</v>
      </c>
      <c r="D197" s="86"/>
      <c r="E197" s="87" t="s">
        <v>378</v>
      </c>
      <c r="F197" s="21">
        <f>F198</f>
        <v>2642</v>
      </c>
      <c r="G197" s="21">
        <f t="shared" ref="G197:H198" si="67">G198</f>
        <v>0</v>
      </c>
      <c r="H197" s="21">
        <f t="shared" si="67"/>
        <v>0</v>
      </c>
    </row>
    <row r="198" spans="1:11" ht="31.5">
      <c r="A198" s="86" t="s">
        <v>21</v>
      </c>
      <c r="B198" s="86" t="s">
        <v>7</v>
      </c>
      <c r="C198" s="86" t="s">
        <v>421</v>
      </c>
      <c r="D198" s="88" t="s">
        <v>72</v>
      </c>
      <c r="E198" s="87" t="s">
        <v>102</v>
      </c>
      <c r="F198" s="21">
        <f>F199</f>
        <v>2642</v>
      </c>
      <c r="G198" s="21">
        <f t="shared" si="67"/>
        <v>0</v>
      </c>
      <c r="H198" s="21">
        <f t="shared" si="67"/>
        <v>0</v>
      </c>
    </row>
    <row r="199" spans="1:11" ht="31.5">
      <c r="A199" s="86" t="s">
        <v>21</v>
      </c>
      <c r="B199" s="86" t="s">
        <v>7</v>
      </c>
      <c r="C199" s="86" t="s">
        <v>421</v>
      </c>
      <c r="D199" s="86">
        <v>240</v>
      </c>
      <c r="E199" s="87" t="s">
        <v>315</v>
      </c>
      <c r="F199" s="21">
        <v>2642</v>
      </c>
      <c r="G199" s="21">
        <v>0</v>
      </c>
      <c r="H199" s="21">
        <v>0</v>
      </c>
    </row>
    <row r="200" spans="1:11" ht="47.25">
      <c r="A200" s="86" t="s">
        <v>21</v>
      </c>
      <c r="B200" s="86" t="s">
        <v>7</v>
      </c>
      <c r="C200" s="86" t="s">
        <v>422</v>
      </c>
      <c r="D200" s="86"/>
      <c r="E200" s="87" t="s">
        <v>356</v>
      </c>
      <c r="F200" s="21">
        <f>F201</f>
        <v>217.7</v>
      </c>
      <c r="G200" s="21">
        <f t="shared" ref="G200:H201" si="68">G201</f>
        <v>0</v>
      </c>
      <c r="H200" s="21">
        <f t="shared" si="68"/>
        <v>0</v>
      </c>
      <c r="K200" s="3" t="s">
        <v>423</v>
      </c>
    </row>
    <row r="201" spans="1:11" ht="31.5">
      <c r="A201" s="86" t="s">
        <v>21</v>
      </c>
      <c r="B201" s="86" t="s">
        <v>7</v>
      </c>
      <c r="C201" s="86" t="s">
        <v>422</v>
      </c>
      <c r="D201" s="88" t="s">
        <v>72</v>
      </c>
      <c r="E201" s="87" t="s">
        <v>102</v>
      </c>
      <c r="F201" s="21">
        <f>F202</f>
        <v>217.7</v>
      </c>
      <c r="G201" s="21">
        <f t="shared" si="68"/>
        <v>0</v>
      </c>
      <c r="H201" s="21">
        <f t="shared" si="68"/>
        <v>0</v>
      </c>
    </row>
    <row r="202" spans="1:11" ht="31.5">
      <c r="A202" s="86" t="s">
        <v>21</v>
      </c>
      <c r="B202" s="86" t="s">
        <v>7</v>
      </c>
      <c r="C202" s="86" t="s">
        <v>422</v>
      </c>
      <c r="D202" s="86">
        <v>240</v>
      </c>
      <c r="E202" s="87" t="s">
        <v>315</v>
      </c>
      <c r="F202" s="21">
        <f>660.5-442.8</f>
        <v>217.7</v>
      </c>
      <c r="G202" s="21">
        <v>0</v>
      </c>
      <c r="H202" s="21">
        <v>0</v>
      </c>
    </row>
    <row r="203" spans="1:11" ht="31.5">
      <c r="A203" s="86" t="s">
        <v>21</v>
      </c>
      <c r="B203" s="86" t="s">
        <v>7</v>
      </c>
      <c r="C203" s="86">
        <v>1420200000</v>
      </c>
      <c r="D203" s="86"/>
      <c r="E203" s="87" t="s">
        <v>390</v>
      </c>
      <c r="F203" s="21">
        <f>F204</f>
        <v>199.8</v>
      </c>
      <c r="G203" s="21">
        <f t="shared" ref="G203:H205" si="69">G204</f>
        <v>0</v>
      </c>
      <c r="H203" s="21">
        <f t="shared" si="69"/>
        <v>0</v>
      </c>
    </row>
    <row r="204" spans="1:11" ht="31.5">
      <c r="A204" s="86" t="s">
        <v>21</v>
      </c>
      <c r="B204" s="86" t="s">
        <v>7</v>
      </c>
      <c r="C204" s="86">
        <v>1420220130</v>
      </c>
      <c r="D204" s="86"/>
      <c r="E204" s="87" t="s">
        <v>391</v>
      </c>
      <c r="F204" s="21">
        <f>F205</f>
        <v>199.8</v>
      </c>
      <c r="G204" s="21">
        <f t="shared" si="69"/>
        <v>0</v>
      </c>
      <c r="H204" s="21">
        <f t="shared" si="69"/>
        <v>0</v>
      </c>
    </row>
    <row r="205" spans="1:11" ht="31.5">
      <c r="A205" s="86" t="s">
        <v>21</v>
      </c>
      <c r="B205" s="86" t="s">
        <v>7</v>
      </c>
      <c r="C205" s="86">
        <v>1420220130</v>
      </c>
      <c r="D205" s="88" t="s">
        <v>72</v>
      </c>
      <c r="E205" s="87" t="s">
        <v>102</v>
      </c>
      <c r="F205" s="21">
        <f>F206</f>
        <v>199.8</v>
      </c>
      <c r="G205" s="21">
        <f t="shared" si="69"/>
        <v>0</v>
      </c>
      <c r="H205" s="21">
        <f t="shared" si="69"/>
        <v>0</v>
      </c>
    </row>
    <row r="206" spans="1:11" ht="31.5">
      <c r="A206" s="86" t="s">
        <v>21</v>
      </c>
      <c r="B206" s="86" t="s">
        <v>7</v>
      </c>
      <c r="C206" s="86">
        <v>1420220130</v>
      </c>
      <c r="D206" s="86">
        <v>240</v>
      </c>
      <c r="E206" s="87" t="s">
        <v>315</v>
      </c>
      <c r="F206" s="21">
        <v>199.8</v>
      </c>
      <c r="G206" s="21">
        <v>0</v>
      </c>
      <c r="H206" s="21">
        <v>0</v>
      </c>
    </row>
    <row r="207" spans="1:11">
      <c r="A207" s="86" t="s">
        <v>21</v>
      </c>
      <c r="B207" s="86" t="s">
        <v>7</v>
      </c>
      <c r="C207" s="88" t="s">
        <v>121</v>
      </c>
      <c r="D207" s="88" t="s">
        <v>69</v>
      </c>
      <c r="E207" s="66" t="s">
        <v>116</v>
      </c>
      <c r="F207" s="21">
        <f>F208</f>
        <v>8885.2999999999993</v>
      </c>
      <c r="G207" s="21">
        <f t="shared" ref="G207:H210" si="70">G208</f>
        <v>0</v>
      </c>
      <c r="H207" s="21">
        <f t="shared" si="70"/>
        <v>0</v>
      </c>
    </row>
    <row r="208" spans="1:11" ht="31.5">
      <c r="A208" s="86" t="s">
        <v>21</v>
      </c>
      <c r="B208" s="86" t="s">
        <v>7</v>
      </c>
      <c r="C208" s="86">
        <v>9930000000</v>
      </c>
      <c r="D208" s="86"/>
      <c r="E208" s="66" t="s">
        <v>189</v>
      </c>
      <c r="F208" s="21">
        <f>F209</f>
        <v>8885.2999999999993</v>
      </c>
      <c r="G208" s="21">
        <f t="shared" si="70"/>
        <v>0</v>
      </c>
      <c r="H208" s="21">
        <f t="shared" si="70"/>
        <v>0</v>
      </c>
    </row>
    <row r="209" spans="1:8" ht="31.5">
      <c r="A209" s="86" t="s">
        <v>21</v>
      </c>
      <c r="B209" s="86" t="s">
        <v>7</v>
      </c>
      <c r="C209" s="86">
        <v>9930020490</v>
      </c>
      <c r="D209" s="86"/>
      <c r="E209" s="66" t="s">
        <v>365</v>
      </c>
      <c r="F209" s="21">
        <f>F210+F212</f>
        <v>8885.2999999999993</v>
      </c>
      <c r="G209" s="21">
        <f t="shared" ref="G209:H209" si="71">G210+G212</f>
        <v>0</v>
      </c>
      <c r="H209" s="21">
        <f t="shared" si="71"/>
        <v>0</v>
      </c>
    </row>
    <row r="210" spans="1:8" ht="31.5">
      <c r="A210" s="86" t="s">
        <v>21</v>
      </c>
      <c r="B210" s="86" t="s">
        <v>7</v>
      </c>
      <c r="C210" s="86">
        <v>9930020490</v>
      </c>
      <c r="D210" s="88" t="s">
        <v>72</v>
      </c>
      <c r="E210" s="87" t="s">
        <v>102</v>
      </c>
      <c r="F210" s="21">
        <f>F211</f>
        <v>6786.5</v>
      </c>
      <c r="G210" s="21">
        <f t="shared" si="70"/>
        <v>0</v>
      </c>
      <c r="H210" s="21">
        <f t="shared" si="70"/>
        <v>0</v>
      </c>
    </row>
    <row r="211" spans="1:8" ht="31.5">
      <c r="A211" s="86" t="s">
        <v>21</v>
      </c>
      <c r="B211" s="86" t="s">
        <v>7</v>
      </c>
      <c r="C211" s="86">
        <v>9930020490</v>
      </c>
      <c r="D211" s="86">
        <v>240</v>
      </c>
      <c r="E211" s="87" t="s">
        <v>315</v>
      </c>
      <c r="F211" s="21">
        <v>6786.5</v>
      </c>
      <c r="G211" s="21">
        <v>0</v>
      </c>
      <c r="H211" s="21">
        <v>0</v>
      </c>
    </row>
    <row r="212" spans="1:8">
      <c r="A212" s="86" t="s">
        <v>21</v>
      </c>
      <c r="B212" s="86" t="s">
        <v>7</v>
      </c>
      <c r="C212" s="86">
        <v>9930020490</v>
      </c>
      <c r="D212" s="11" t="s">
        <v>73</v>
      </c>
      <c r="E212" s="42" t="s">
        <v>74</v>
      </c>
      <c r="F212" s="21">
        <f>F213</f>
        <v>2098.8000000000002</v>
      </c>
      <c r="G212" s="21">
        <f t="shared" ref="G212:H212" si="72">G213</f>
        <v>0</v>
      </c>
      <c r="H212" s="21">
        <f t="shared" si="72"/>
        <v>0</v>
      </c>
    </row>
    <row r="213" spans="1:8">
      <c r="A213" s="86" t="s">
        <v>21</v>
      </c>
      <c r="B213" s="86" t="s">
        <v>7</v>
      </c>
      <c r="C213" s="86">
        <v>9930020490</v>
      </c>
      <c r="D213" s="1" t="s">
        <v>366</v>
      </c>
      <c r="E213" s="69" t="s">
        <v>367</v>
      </c>
      <c r="F213" s="21">
        <f>1700-57+455.8</f>
        <v>2098.8000000000002</v>
      </c>
      <c r="G213" s="21">
        <v>0</v>
      </c>
      <c r="H213" s="21">
        <v>0</v>
      </c>
    </row>
    <row r="214" spans="1:8">
      <c r="A214" s="86" t="s">
        <v>21</v>
      </c>
      <c r="B214" s="86" t="s">
        <v>51</v>
      </c>
      <c r="C214" s="86" t="s">
        <v>69</v>
      </c>
      <c r="D214" s="86" t="s">
        <v>69</v>
      </c>
      <c r="E214" s="87" t="s">
        <v>28</v>
      </c>
      <c r="F214" s="21">
        <f t="shared" ref="F214:H219" si="73">F215</f>
        <v>2652.2000000000003</v>
      </c>
      <c r="G214" s="21">
        <f t="shared" si="73"/>
        <v>2640.8</v>
      </c>
      <c r="H214" s="21">
        <f t="shared" si="73"/>
        <v>2234.4</v>
      </c>
    </row>
    <row r="215" spans="1:8" ht="47.25">
      <c r="A215" s="86" t="s">
        <v>21</v>
      </c>
      <c r="B215" s="86" t="s">
        <v>51</v>
      </c>
      <c r="C215" s="88">
        <v>1600000000</v>
      </c>
      <c r="D215" s="24"/>
      <c r="E215" s="87" t="s">
        <v>125</v>
      </c>
      <c r="F215" s="21">
        <f>F216</f>
        <v>2652.2000000000003</v>
      </c>
      <c r="G215" s="21">
        <f t="shared" si="73"/>
        <v>2640.8</v>
      </c>
      <c r="H215" s="21">
        <f t="shared" si="73"/>
        <v>2234.4</v>
      </c>
    </row>
    <row r="216" spans="1:8" ht="31.5">
      <c r="A216" s="86" t="s">
        <v>21</v>
      </c>
      <c r="B216" s="86" t="s">
        <v>51</v>
      </c>
      <c r="C216" s="88">
        <v>1610000000</v>
      </c>
      <c r="D216" s="86"/>
      <c r="E216" s="87" t="s">
        <v>257</v>
      </c>
      <c r="F216" s="21">
        <f>F217+F221</f>
        <v>2652.2000000000003</v>
      </c>
      <c r="G216" s="21">
        <f t="shared" ref="G216:H216" si="74">G217+G221</f>
        <v>2640.8</v>
      </c>
      <c r="H216" s="21">
        <f t="shared" si="74"/>
        <v>2234.4</v>
      </c>
    </row>
    <row r="217" spans="1:8" ht="47.25">
      <c r="A217" s="86" t="s">
        <v>21</v>
      </c>
      <c r="B217" s="86" t="s">
        <v>51</v>
      </c>
      <c r="C217" s="88">
        <v>1610100000</v>
      </c>
      <c r="D217" s="86"/>
      <c r="E217" s="87" t="s">
        <v>228</v>
      </c>
      <c r="F217" s="21">
        <f t="shared" si="73"/>
        <v>2245.8000000000002</v>
      </c>
      <c r="G217" s="21">
        <f t="shared" si="73"/>
        <v>2234.4</v>
      </c>
      <c r="H217" s="21">
        <f t="shared" si="73"/>
        <v>2234.4</v>
      </c>
    </row>
    <row r="218" spans="1:8" ht="31.5">
      <c r="A218" s="86" t="s">
        <v>21</v>
      </c>
      <c r="B218" s="86" t="s">
        <v>51</v>
      </c>
      <c r="C218" s="88">
        <v>1610120010</v>
      </c>
      <c r="D218" s="86"/>
      <c r="E218" s="87" t="s">
        <v>135</v>
      </c>
      <c r="F218" s="21">
        <f t="shared" si="73"/>
        <v>2245.8000000000002</v>
      </c>
      <c r="G218" s="21">
        <f t="shared" si="73"/>
        <v>2234.4</v>
      </c>
      <c r="H218" s="21">
        <f t="shared" si="73"/>
        <v>2234.4</v>
      </c>
    </row>
    <row r="219" spans="1:8" ht="31.5">
      <c r="A219" s="86" t="s">
        <v>21</v>
      </c>
      <c r="B219" s="86" t="s">
        <v>51</v>
      </c>
      <c r="C219" s="88">
        <v>1610120010</v>
      </c>
      <c r="D219" s="88" t="s">
        <v>104</v>
      </c>
      <c r="E219" s="87" t="s">
        <v>105</v>
      </c>
      <c r="F219" s="21">
        <f t="shared" si="73"/>
        <v>2245.8000000000002</v>
      </c>
      <c r="G219" s="21">
        <f t="shared" si="73"/>
        <v>2234.4</v>
      </c>
      <c r="H219" s="21">
        <f t="shared" si="73"/>
        <v>2234.4</v>
      </c>
    </row>
    <row r="220" spans="1:8">
      <c r="A220" s="86" t="s">
        <v>21</v>
      </c>
      <c r="B220" s="86" t="s">
        <v>51</v>
      </c>
      <c r="C220" s="88">
        <v>1610120010</v>
      </c>
      <c r="D220" s="86">
        <v>610</v>
      </c>
      <c r="E220" s="87" t="s">
        <v>115</v>
      </c>
      <c r="F220" s="21">
        <f>2234.4+22.3-10.9</f>
        <v>2245.8000000000002</v>
      </c>
      <c r="G220" s="21">
        <v>2234.4</v>
      </c>
      <c r="H220" s="21">
        <v>2234.4</v>
      </c>
    </row>
    <row r="221" spans="1:8" ht="31.5">
      <c r="A221" s="86" t="s">
        <v>21</v>
      </c>
      <c r="B221" s="86" t="s">
        <v>51</v>
      </c>
      <c r="C221" s="88">
        <v>1610300000</v>
      </c>
      <c r="D221" s="86"/>
      <c r="E221" s="87" t="s">
        <v>265</v>
      </c>
      <c r="F221" s="21">
        <f>F222</f>
        <v>406.4</v>
      </c>
      <c r="G221" s="21">
        <f t="shared" ref="G221:H221" si="75">G222</f>
        <v>406.4</v>
      </c>
      <c r="H221" s="21">
        <f t="shared" si="75"/>
        <v>0</v>
      </c>
    </row>
    <row r="222" spans="1:8">
      <c r="A222" s="86" t="s">
        <v>21</v>
      </c>
      <c r="B222" s="86" t="s">
        <v>51</v>
      </c>
      <c r="C222" s="88">
        <v>1610320200</v>
      </c>
      <c r="D222" s="86"/>
      <c r="E222" s="87" t="s">
        <v>163</v>
      </c>
      <c r="F222" s="21">
        <f>F223</f>
        <v>406.4</v>
      </c>
      <c r="G222" s="21">
        <f t="shared" ref="G222:H223" si="76">G223</f>
        <v>406.4</v>
      </c>
      <c r="H222" s="21">
        <f t="shared" si="76"/>
        <v>0</v>
      </c>
    </row>
    <row r="223" spans="1:8" ht="31.5">
      <c r="A223" s="86" t="s">
        <v>21</v>
      </c>
      <c r="B223" s="86" t="s">
        <v>51</v>
      </c>
      <c r="C223" s="88">
        <v>1610320200</v>
      </c>
      <c r="D223" s="88" t="s">
        <v>104</v>
      </c>
      <c r="E223" s="87" t="s">
        <v>105</v>
      </c>
      <c r="F223" s="21">
        <f>F224</f>
        <v>406.4</v>
      </c>
      <c r="G223" s="21">
        <f t="shared" si="76"/>
        <v>406.4</v>
      </c>
      <c r="H223" s="21">
        <f t="shared" si="76"/>
        <v>0</v>
      </c>
    </row>
    <row r="224" spans="1:8">
      <c r="A224" s="86" t="s">
        <v>21</v>
      </c>
      <c r="B224" s="86" t="s">
        <v>51</v>
      </c>
      <c r="C224" s="88">
        <v>1610320200</v>
      </c>
      <c r="D224" s="86">
        <v>610</v>
      </c>
      <c r="E224" s="87" t="s">
        <v>115</v>
      </c>
      <c r="F224" s="21">
        <v>406.4</v>
      </c>
      <c r="G224" s="21">
        <v>406.4</v>
      </c>
      <c r="H224" s="21">
        <v>0</v>
      </c>
    </row>
    <row r="225" spans="1:14">
      <c r="A225" s="86" t="s">
        <v>21</v>
      </c>
      <c r="B225" s="86" t="s">
        <v>60</v>
      </c>
      <c r="C225" s="86" t="s">
        <v>69</v>
      </c>
      <c r="D225" s="86" t="s">
        <v>69</v>
      </c>
      <c r="E225" s="42" t="s">
        <v>29</v>
      </c>
      <c r="F225" s="21">
        <f>F226</f>
        <v>84790.599999999991</v>
      </c>
      <c r="G225" s="21">
        <f t="shared" ref="G225:H225" si="77">G226</f>
        <v>16393.100000000002</v>
      </c>
      <c r="H225" s="21">
        <f t="shared" si="77"/>
        <v>9117.7999999999993</v>
      </c>
    </row>
    <row r="226" spans="1:14">
      <c r="A226" s="86" t="s">
        <v>21</v>
      </c>
      <c r="B226" s="86" t="s">
        <v>52</v>
      </c>
      <c r="C226" s="86" t="s">
        <v>69</v>
      </c>
      <c r="D226" s="86" t="s">
        <v>69</v>
      </c>
      <c r="E226" s="87" t="s">
        <v>30</v>
      </c>
      <c r="F226" s="21">
        <f>F227</f>
        <v>84790.599999999991</v>
      </c>
      <c r="G226" s="21">
        <f t="shared" ref="G226:H226" si="78">G227</f>
        <v>16393.100000000002</v>
      </c>
      <c r="H226" s="21">
        <f t="shared" si="78"/>
        <v>9117.7999999999993</v>
      </c>
    </row>
    <row r="227" spans="1:14" ht="47.25">
      <c r="A227" s="86" t="s">
        <v>21</v>
      </c>
      <c r="B227" s="86" t="s">
        <v>52</v>
      </c>
      <c r="C227" s="88">
        <v>1300000000</v>
      </c>
      <c r="D227" s="86"/>
      <c r="E227" s="87" t="s">
        <v>222</v>
      </c>
      <c r="F227" s="21">
        <f>F228+F243+F279</f>
        <v>84790.599999999991</v>
      </c>
      <c r="G227" s="21">
        <f>G228+G243+G279</f>
        <v>16393.100000000002</v>
      </c>
      <c r="H227" s="21">
        <f>H228+H243+H279</f>
        <v>9117.7999999999993</v>
      </c>
    </row>
    <row r="228" spans="1:14" ht="47.25">
      <c r="A228" s="86" t="s">
        <v>21</v>
      </c>
      <c r="B228" s="86" t="s">
        <v>52</v>
      </c>
      <c r="C228" s="88">
        <v>1310000000</v>
      </c>
      <c r="D228" s="86"/>
      <c r="E228" s="87" t="s">
        <v>267</v>
      </c>
      <c r="F228" s="21">
        <f>F233+F240+F229</f>
        <v>64021.599999999999</v>
      </c>
      <c r="G228" s="21">
        <f t="shared" ref="G228:H228" si="79">G233+G240+G229</f>
        <v>147.1</v>
      </c>
      <c r="H228" s="21">
        <f t="shared" si="79"/>
        <v>0</v>
      </c>
    </row>
    <row r="229" spans="1:14" ht="47.25">
      <c r="A229" s="86" t="s">
        <v>21</v>
      </c>
      <c r="B229" s="86" t="s">
        <v>52</v>
      </c>
      <c r="C229" s="88">
        <v>1310200000</v>
      </c>
      <c r="D229" s="86"/>
      <c r="E229" s="66" t="s">
        <v>372</v>
      </c>
      <c r="F229" s="21">
        <f>F230</f>
        <v>249</v>
      </c>
      <c r="G229" s="21">
        <f t="shared" ref="G229:H231" si="80">G230</f>
        <v>0</v>
      </c>
      <c r="H229" s="21">
        <f t="shared" si="80"/>
        <v>0</v>
      </c>
    </row>
    <row r="230" spans="1:14">
      <c r="A230" s="86" t="s">
        <v>21</v>
      </c>
      <c r="B230" s="86" t="s">
        <v>52</v>
      </c>
      <c r="C230" s="86">
        <v>1310220100</v>
      </c>
      <c r="D230" s="86"/>
      <c r="E230" s="73" t="s">
        <v>354</v>
      </c>
      <c r="F230" s="21">
        <f>F231</f>
        <v>249</v>
      </c>
      <c r="G230" s="21">
        <f t="shared" si="80"/>
        <v>0</v>
      </c>
      <c r="H230" s="21">
        <f t="shared" si="80"/>
        <v>0</v>
      </c>
    </row>
    <row r="231" spans="1:14" ht="31.5">
      <c r="A231" s="86" t="s">
        <v>21</v>
      </c>
      <c r="B231" s="86" t="s">
        <v>52</v>
      </c>
      <c r="C231" s="86">
        <v>1310220100</v>
      </c>
      <c r="D231" s="88" t="s">
        <v>72</v>
      </c>
      <c r="E231" s="66" t="s">
        <v>102</v>
      </c>
      <c r="F231" s="21">
        <f>F232</f>
        <v>249</v>
      </c>
      <c r="G231" s="21">
        <f t="shared" si="80"/>
        <v>0</v>
      </c>
      <c r="H231" s="21">
        <f t="shared" si="80"/>
        <v>0</v>
      </c>
    </row>
    <row r="232" spans="1:14" ht="31.5">
      <c r="A232" s="86" t="s">
        <v>21</v>
      </c>
      <c r="B232" s="86" t="s">
        <v>52</v>
      </c>
      <c r="C232" s="86">
        <v>1310220100</v>
      </c>
      <c r="D232" s="86">
        <v>240</v>
      </c>
      <c r="E232" s="66" t="s">
        <v>315</v>
      </c>
      <c r="F232" s="21">
        <f>100+149</f>
        <v>249</v>
      </c>
      <c r="G232" s="21">
        <v>0</v>
      </c>
      <c r="H232" s="21">
        <v>0</v>
      </c>
    </row>
    <row r="233" spans="1:14" ht="46.9" customHeight="1">
      <c r="A233" s="86" t="s">
        <v>21</v>
      </c>
      <c r="B233" s="86" t="s">
        <v>52</v>
      </c>
      <c r="C233" s="88" t="s">
        <v>341</v>
      </c>
      <c r="D233" s="24"/>
      <c r="E233" s="87" t="s">
        <v>337</v>
      </c>
      <c r="F233" s="21">
        <f>F237+F234</f>
        <v>13772.6</v>
      </c>
      <c r="G233" s="21">
        <f t="shared" ref="G233:H233" si="81">G237+G234</f>
        <v>147.1</v>
      </c>
      <c r="H233" s="21">
        <f t="shared" si="81"/>
        <v>0</v>
      </c>
    </row>
    <row r="234" spans="1:14">
      <c r="A234" s="86" t="s">
        <v>21</v>
      </c>
      <c r="B234" s="86" t="s">
        <v>52</v>
      </c>
      <c r="C234" s="86" t="s">
        <v>364</v>
      </c>
      <c r="D234" s="86"/>
      <c r="E234" s="73" t="s">
        <v>354</v>
      </c>
      <c r="F234" s="21">
        <f>F235</f>
        <v>355.5</v>
      </c>
      <c r="G234" s="21">
        <f t="shared" ref="G234:H235" si="82">G235</f>
        <v>147.1</v>
      </c>
      <c r="H234" s="21">
        <f t="shared" si="82"/>
        <v>0</v>
      </c>
    </row>
    <row r="235" spans="1:14" ht="31.5">
      <c r="A235" s="86" t="s">
        <v>21</v>
      </c>
      <c r="B235" s="86" t="s">
        <v>52</v>
      </c>
      <c r="C235" s="86" t="s">
        <v>364</v>
      </c>
      <c r="D235" s="88" t="s">
        <v>72</v>
      </c>
      <c r="E235" s="66" t="s">
        <v>102</v>
      </c>
      <c r="F235" s="21">
        <f>F236</f>
        <v>355.5</v>
      </c>
      <c r="G235" s="21">
        <f t="shared" si="82"/>
        <v>147.1</v>
      </c>
      <c r="H235" s="21">
        <f t="shared" si="82"/>
        <v>0</v>
      </c>
    </row>
    <row r="236" spans="1:14" ht="31.5">
      <c r="A236" s="86" t="s">
        <v>21</v>
      </c>
      <c r="B236" s="86" t="s">
        <v>52</v>
      </c>
      <c r="C236" s="86" t="s">
        <v>364</v>
      </c>
      <c r="D236" s="86">
        <v>240</v>
      </c>
      <c r="E236" s="66" t="s">
        <v>315</v>
      </c>
      <c r="F236" s="21">
        <f>155.7+199.8</f>
        <v>355.5</v>
      </c>
      <c r="G236" s="21">
        <v>147.1</v>
      </c>
      <c r="H236" s="21">
        <v>0</v>
      </c>
    </row>
    <row r="237" spans="1:14" ht="31.5" customHeight="1">
      <c r="A237" s="86" t="s">
        <v>21</v>
      </c>
      <c r="B237" s="86" t="s">
        <v>52</v>
      </c>
      <c r="C237" s="88" t="s">
        <v>342</v>
      </c>
      <c r="D237" s="86"/>
      <c r="E237" s="61" t="s">
        <v>281</v>
      </c>
      <c r="F237" s="21">
        <f>F238</f>
        <v>13417.1</v>
      </c>
      <c r="G237" s="21">
        <f t="shared" ref="G237:H238" si="83">G238</f>
        <v>0</v>
      </c>
      <c r="H237" s="21">
        <f t="shared" si="83"/>
        <v>0</v>
      </c>
    </row>
    <row r="238" spans="1:14" ht="31.5">
      <c r="A238" s="86" t="s">
        <v>21</v>
      </c>
      <c r="B238" s="86" t="s">
        <v>52</v>
      </c>
      <c r="C238" s="88" t="s">
        <v>342</v>
      </c>
      <c r="D238" s="88" t="s">
        <v>72</v>
      </c>
      <c r="E238" s="87" t="s">
        <v>102</v>
      </c>
      <c r="F238" s="21">
        <f>F239</f>
        <v>13417.1</v>
      </c>
      <c r="G238" s="21">
        <f t="shared" si="83"/>
        <v>0</v>
      </c>
      <c r="H238" s="21">
        <f t="shared" si="83"/>
        <v>0</v>
      </c>
    </row>
    <row r="239" spans="1:14" ht="31.5">
      <c r="A239" s="86" t="s">
        <v>21</v>
      </c>
      <c r="B239" s="86" t="s">
        <v>52</v>
      </c>
      <c r="C239" s="88" t="s">
        <v>342</v>
      </c>
      <c r="D239" s="86">
        <v>240</v>
      </c>
      <c r="E239" s="87" t="s">
        <v>315</v>
      </c>
      <c r="F239" s="21">
        <f>725.7-592.7+13338.7-54.6</f>
        <v>13417.1</v>
      </c>
      <c r="G239" s="21">
        <v>0</v>
      </c>
      <c r="H239" s="21">
        <v>0</v>
      </c>
    </row>
    <row r="240" spans="1:14" ht="78" customHeight="1">
      <c r="A240" s="86" t="s">
        <v>21</v>
      </c>
      <c r="B240" s="86" t="s">
        <v>52</v>
      </c>
      <c r="C240" s="86" t="s">
        <v>352</v>
      </c>
      <c r="D240" s="86"/>
      <c r="E240" s="66" t="s">
        <v>353</v>
      </c>
      <c r="F240" s="21">
        <f>F241</f>
        <v>50000</v>
      </c>
      <c r="G240" s="21">
        <f t="shared" ref="G240:H241" si="84">G241</f>
        <v>0</v>
      </c>
      <c r="H240" s="21">
        <f t="shared" si="84"/>
        <v>0</v>
      </c>
      <c r="N240" s="3" t="s">
        <v>423</v>
      </c>
    </row>
    <row r="241" spans="1:8" ht="31.5">
      <c r="A241" s="86" t="s">
        <v>21</v>
      </c>
      <c r="B241" s="86" t="s">
        <v>52</v>
      </c>
      <c r="C241" s="86" t="s">
        <v>352</v>
      </c>
      <c r="D241" s="88" t="s">
        <v>72</v>
      </c>
      <c r="E241" s="66" t="s">
        <v>102</v>
      </c>
      <c r="F241" s="21">
        <f>F242</f>
        <v>50000</v>
      </c>
      <c r="G241" s="21">
        <f t="shared" si="84"/>
        <v>0</v>
      </c>
      <c r="H241" s="21">
        <f t="shared" si="84"/>
        <v>0</v>
      </c>
    </row>
    <row r="242" spans="1:8" ht="31.5">
      <c r="A242" s="86" t="s">
        <v>21</v>
      </c>
      <c r="B242" s="86" t="s">
        <v>52</v>
      </c>
      <c r="C242" s="86" t="s">
        <v>352</v>
      </c>
      <c r="D242" s="86">
        <v>240</v>
      </c>
      <c r="E242" s="66" t="s">
        <v>315</v>
      </c>
      <c r="F242" s="21">
        <v>50000</v>
      </c>
      <c r="G242" s="21">
        <v>0</v>
      </c>
      <c r="H242" s="21">
        <v>0</v>
      </c>
    </row>
    <row r="243" spans="1:8">
      <c r="A243" s="86" t="s">
        <v>21</v>
      </c>
      <c r="B243" s="86" t="s">
        <v>52</v>
      </c>
      <c r="C243" s="88">
        <v>1320000000</v>
      </c>
      <c r="D243" s="86"/>
      <c r="E243" s="87" t="s">
        <v>229</v>
      </c>
      <c r="F243" s="21">
        <f>F244+F254</f>
        <v>20610.099999999999</v>
      </c>
      <c r="G243" s="21">
        <f>G244+G254</f>
        <v>16089.1</v>
      </c>
      <c r="H243" s="21">
        <f>H244+H254</f>
        <v>8813.7999999999993</v>
      </c>
    </row>
    <row r="244" spans="1:8" ht="31.5">
      <c r="A244" s="86" t="s">
        <v>21</v>
      </c>
      <c r="B244" s="86" t="s">
        <v>52</v>
      </c>
      <c r="C244" s="88">
        <v>1320100000</v>
      </c>
      <c r="D244" s="86"/>
      <c r="E244" s="87" t="s">
        <v>230</v>
      </c>
      <c r="F244" s="21">
        <f>F251+F248+F245</f>
        <v>2339.0999999999995</v>
      </c>
      <c r="G244" s="21">
        <f t="shared" ref="G244:H244" si="85">G251+G248+G245</f>
        <v>0</v>
      </c>
      <c r="H244" s="21">
        <f t="shared" si="85"/>
        <v>0</v>
      </c>
    </row>
    <row r="245" spans="1:8" ht="31.5">
      <c r="A245" s="86" t="s">
        <v>21</v>
      </c>
      <c r="B245" s="86" t="s">
        <v>52</v>
      </c>
      <c r="C245" s="86">
        <v>1320110430</v>
      </c>
      <c r="D245" s="86"/>
      <c r="E245" s="66" t="s">
        <v>414</v>
      </c>
      <c r="F245" s="21">
        <f>F246</f>
        <v>1103.1999999999998</v>
      </c>
      <c r="G245" s="21">
        <f t="shared" ref="G245:H246" si="86">G246</f>
        <v>0</v>
      </c>
      <c r="H245" s="21">
        <f t="shared" si="86"/>
        <v>0</v>
      </c>
    </row>
    <row r="246" spans="1:8" ht="31.5">
      <c r="A246" s="86" t="s">
        <v>21</v>
      </c>
      <c r="B246" s="86" t="s">
        <v>52</v>
      </c>
      <c r="C246" s="86">
        <v>1320110430</v>
      </c>
      <c r="D246" s="88" t="s">
        <v>72</v>
      </c>
      <c r="E246" s="66" t="s">
        <v>102</v>
      </c>
      <c r="F246" s="21">
        <f>F247</f>
        <v>1103.1999999999998</v>
      </c>
      <c r="G246" s="21">
        <f t="shared" si="86"/>
        <v>0</v>
      </c>
      <c r="H246" s="21">
        <f t="shared" si="86"/>
        <v>0</v>
      </c>
    </row>
    <row r="247" spans="1:8" ht="31.5">
      <c r="A247" s="86" t="s">
        <v>21</v>
      </c>
      <c r="B247" s="86" t="s">
        <v>52</v>
      </c>
      <c r="C247" s="86">
        <v>1320110430</v>
      </c>
      <c r="D247" s="86">
        <v>240</v>
      </c>
      <c r="E247" s="66" t="s">
        <v>315</v>
      </c>
      <c r="F247" s="21">
        <f>1427.3-324.1</f>
        <v>1103.1999999999998</v>
      </c>
      <c r="G247" s="21">
        <v>0</v>
      </c>
      <c r="H247" s="21">
        <v>0</v>
      </c>
    </row>
    <row r="248" spans="1:8">
      <c r="A248" s="86" t="s">
        <v>21</v>
      </c>
      <c r="B248" s="86" t="s">
        <v>52</v>
      </c>
      <c r="C248" s="86">
        <v>1320120100</v>
      </c>
      <c r="D248" s="86"/>
      <c r="E248" s="66" t="s">
        <v>354</v>
      </c>
      <c r="F248" s="21">
        <f>F249</f>
        <v>16.399999999999999</v>
      </c>
      <c r="G248" s="21">
        <f t="shared" ref="G248:H249" si="87">G249</f>
        <v>0</v>
      </c>
      <c r="H248" s="21">
        <f t="shared" si="87"/>
        <v>0</v>
      </c>
    </row>
    <row r="249" spans="1:8" ht="31.5">
      <c r="A249" s="86" t="s">
        <v>21</v>
      </c>
      <c r="B249" s="86" t="s">
        <v>52</v>
      </c>
      <c r="C249" s="86">
        <v>1320120100</v>
      </c>
      <c r="D249" s="88" t="s">
        <v>72</v>
      </c>
      <c r="E249" s="66" t="s">
        <v>102</v>
      </c>
      <c r="F249" s="21">
        <f>F250</f>
        <v>16.399999999999999</v>
      </c>
      <c r="G249" s="21">
        <f t="shared" si="87"/>
        <v>0</v>
      </c>
      <c r="H249" s="21">
        <f t="shared" si="87"/>
        <v>0</v>
      </c>
    </row>
    <row r="250" spans="1:8" ht="31.5">
      <c r="A250" s="86" t="s">
        <v>21</v>
      </c>
      <c r="B250" s="86" t="s">
        <v>52</v>
      </c>
      <c r="C250" s="86">
        <v>1320120100</v>
      </c>
      <c r="D250" s="86">
        <v>240</v>
      </c>
      <c r="E250" s="66" t="s">
        <v>315</v>
      </c>
      <c r="F250" s="21">
        <f>61.1-44.7</f>
        <v>16.399999999999999</v>
      </c>
      <c r="G250" s="21">
        <v>0</v>
      </c>
      <c r="H250" s="21">
        <v>0</v>
      </c>
    </row>
    <row r="251" spans="1:8" ht="31.5">
      <c r="A251" s="86" t="s">
        <v>21</v>
      </c>
      <c r="B251" s="86" t="s">
        <v>52</v>
      </c>
      <c r="C251" s="86" t="s">
        <v>141</v>
      </c>
      <c r="D251" s="86"/>
      <c r="E251" s="61" t="s">
        <v>277</v>
      </c>
      <c r="F251" s="21">
        <f>F252</f>
        <v>1219.4999999999998</v>
      </c>
      <c r="G251" s="21">
        <f t="shared" ref="G251:H252" si="88">G252</f>
        <v>0</v>
      </c>
      <c r="H251" s="21">
        <f t="shared" si="88"/>
        <v>0</v>
      </c>
    </row>
    <row r="252" spans="1:8" ht="31.5">
      <c r="A252" s="86" t="s">
        <v>21</v>
      </c>
      <c r="B252" s="86" t="s">
        <v>52</v>
      </c>
      <c r="C252" s="86" t="s">
        <v>141</v>
      </c>
      <c r="D252" s="88" t="s">
        <v>72</v>
      </c>
      <c r="E252" s="87" t="s">
        <v>102</v>
      </c>
      <c r="F252" s="21">
        <f>F253</f>
        <v>1219.4999999999998</v>
      </c>
      <c r="G252" s="21">
        <f t="shared" si="88"/>
        <v>0</v>
      </c>
      <c r="H252" s="21">
        <f t="shared" si="88"/>
        <v>0</v>
      </c>
    </row>
    <row r="253" spans="1:8" ht="31.5">
      <c r="A253" s="86" t="s">
        <v>21</v>
      </c>
      <c r="B253" s="86" t="s">
        <v>52</v>
      </c>
      <c r="C253" s="86" t="s">
        <v>141</v>
      </c>
      <c r="D253" s="86">
        <v>240</v>
      </c>
      <c r="E253" s="87" t="s">
        <v>315</v>
      </c>
      <c r="F253" s="21">
        <f>1346.1+507.8-426.6-264.5+56.7</f>
        <v>1219.4999999999998</v>
      </c>
      <c r="G253" s="21">
        <v>0</v>
      </c>
      <c r="H253" s="21">
        <v>0</v>
      </c>
    </row>
    <row r="254" spans="1:8">
      <c r="A254" s="86" t="s">
        <v>21</v>
      </c>
      <c r="B254" s="86" t="s">
        <v>52</v>
      </c>
      <c r="C254" s="88">
        <v>1320200000</v>
      </c>
      <c r="D254" s="86"/>
      <c r="E254" s="87" t="s">
        <v>142</v>
      </c>
      <c r="F254" s="21">
        <f>F258+F261+F264+F267+F273+F255+F270+F276</f>
        <v>18271</v>
      </c>
      <c r="G254" s="21">
        <f t="shared" ref="G254:H254" si="89">G258+G261+G264+G267+G273+G255+G270+G276</f>
        <v>16089.1</v>
      </c>
      <c r="H254" s="21">
        <f t="shared" si="89"/>
        <v>8813.7999999999993</v>
      </c>
    </row>
    <row r="255" spans="1:8" ht="31.5">
      <c r="A255" s="86" t="s">
        <v>21</v>
      </c>
      <c r="B255" s="86" t="s">
        <v>52</v>
      </c>
      <c r="C255" s="86">
        <v>1320210280</v>
      </c>
      <c r="D255" s="86"/>
      <c r="E255" s="87" t="s">
        <v>397</v>
      </c>
      <c r="F255" s="21">
        <f>F256</f>
        <v>109.7</v>
      </c>
      <c r="G255" s="21">
        <f t="shared" ref="G255:H256" si="90">G256</f>
        <v>0</v>
      </c>
      <c r="H255" s="21">
        <f t="shared" si="90"/>
        <v>0</v>
      </c>
    </row>
    <row r="256" spans="1:8" ht="31.5">
      <c r="A256" s="86" t="s">
        <v>21</v>
      </c>
      <c r="B256" s="86" t="s">
        <v>52</v>
      </c>
      <c r="C256" s="86">
        <v>1320210280</v>
      </c>
      <c r="D256" s="88" t="s">
        <v>72</v>
      </c>
      <c r="E256" s="87" t="s">
        <v>102</v>
      </c>
      <c r="F256" s="21">
        <f>F257</f>
        <v>109.7</v>
      </c>
      <c r="G256" s="21">
        <f t="shared" si="90"/>
        <v>0</v>
      </c>
      <c r="H256" s="21">
        <f t="shared" si="90"/>
        <v>0</v>
      </c>
    </row>
    <row r="257" spans="1:8" ht="31.5">
      <c r="A257" s="86" t="s">
        <v>21</v>
      </c>
      <c r="B257" s="86" t="s">
        <v>52</v>
      </c>
      <c r="C257" s="86">
        <v>1320210280</v>
      </c>
      <c r="D257" s="86">
        <v>240</v>
      </c>
      <c r="E257" s="87" t="s">
        <v>315</v>
      </c>
      <c r="F257" s="21">
        <v>109.7</v>
      </c>
      <c r="G257" s="21">
        <v>0</v>
      </c>
      <c r="H257" s="21">
        <v>0</v>
      </c>
    </row>
    <row r="258" spans="1:8">
      <c r="A258" s="86" t="s">
        <v>21</v>
      </c>
      <c r="B258" s="86" t="s">
        <v>52</v>
      </c>
      <c r="C258" s="86">
        <v>1320220050</v>
      </c>
      <c r="D258" s="86"/>
      <c r="E258" s="87" t="s">
        <v>143</v>
      </c>
      <c r="F258" s="21">
        <f>F259</f>
        <v>14422.2</v>
      </c>
      <c r="G258" s="21">
        <f t="shared" ref="G258:H259" si="91">G259</f>
        <v>13076.1</v>
      </c>
      <c r="H258" s="21">
        <f t="shared" si="91"/>
        <v>8066.5</v>
      </c>
    </row>
    <row r="259" spans="1:8" ht="31.5">
      <c r="A259" s="86" t="s">
        <v>21</v>
      </c>
      <c r="B259" s="86" t="s">
        <v>52</v>
      </c>
      <c r="C259" s="86">
        <v>1320220050</v>
      </c>
      <c r="D259" s="88" t="s">
        <v>72</v>
      </c>
      <c r="E259" s="87" t="s">
        <v>102</v>
      </c>
      <c r="F259" s="21">
        <f>F260</f>
        <v>14422.2</v>
      </c>
      <c r="G259" s="21">
        <f t="shared" si="91"/>
        <v>13076.1</v>
      </c>
      <c r="H259" s="21">
        <f t="shared" si="91"/>
        <v>8066.5</v>
      </c>
    </row>
    <row r="260" spans="1:8" ht="31.5">
      <c r="A260" s="86" t="s">
        <v>21</v>
      </c>
      <c r="B260" s="86" t="s">
        <v>52</v>
      </c>
      <c r="C260" s="86">
        <v>1320220050</v>
      </c>
      <c r="D260" s="86">
        <v>240</v>
      </c>
      <c r="E260" s="87" t="s">
        <v>315</v>
      </c>
      <c r="F260" s="21">
        <f>10040.4-2000+1500+5001.8-120</f>
        <v>14422.2</v>
      </c>
      <c r="G260" s="21">
        <f>9776.1-1700+5000</f>
        <v>13076.1</v>
      </c>
      <c r="H260" s="21">
        <v>8066.5</v>
      </c>
    </row>
    <row r="261" spans="1:8">
      <c r="A261" s="86" t="s">
        <v>21</v>
      </c>
      <c r="B261" s="86" t="s">
        <v>52</v>
      </c>
      <c r="C261" s="86">
        <v>1320220060</v>
      </c>
      <c r="D261" s="86"/>
      <c r="E261" s="87" t="s">
        <v>144</v>
      </c>
      <c r="F261" s="21">
        <f>F262</f>
        <v>1049.5999999999995</v>
      </c>
      <c r="G261" s="21">
        <f t="shared" ref="G261:H262" si="92">G262</f>
        <v>500</v>
      </c>
      <c r="H261" s="21">
        <f t="shared" si="92"/>
        <v>0</v>
      </c>
    </row>
    <row r="262" spans="1:8" ht="31.5">
      <c r="A262" s="86" t="s">
        <v>21</v>
      </c>
      <c r="B262" s="86" t="s">
        <v>52</v>
      </c>
      <c r="C262" s="86">
        <v>1320220060</v>
      </c>
      <c r="D262" s="88" t="s">
        <v>72</v>
      </c>
      <c r="E262" s="87" t="s">
        <v>102</v>
      </c>
      <c r="F262" s="21">
        <f>F263</f>
        <v>1049.5999999999995</v>
      </c>
      <c r="G262" s="21">
        <f t="shared" si="92"/>
        <v>500</v>
      </c>
      <c r="H262" s="21">
        <f t="shared" si="92"/>
        <v>0</v>
      </c>
    </row>
    <row r="263" spans="1:8" ht="31.5">
      <c r="A263" s="86" t="s">
        <v>21</v>
      </c>
      <c r="B263" s="86" t="s">
        <v>52</v>
      </c>
      <c r="C263" s="86">
        <v>1320220060</v>
      </c>
      <c r="D263" s="86">
        <v>240</v>
      </c>
      <c r="E263" s="87" t="s">
        <v>315</v>
      </c>
      <c r="F263" s="21">
        <f>8415.3+2000+3000+149.6-7513.5-5001.8</f>
        <v>1049.5999999999995</v>
      </c>
      <c r="G263" s="21">
        <f>900+1700+2900-5000</f>
        <v>500</v>
      </c>
      <c r="H263" s="21">
        <v>0</v>
      </c>
    </row>
    <row r="264" spans="1:8">
      <c r="A264" s="86" t="s">
        <v>21</v>
      </c>
      <c r="B264" s="86" t="s">
        <v>52</v>
      </c>
      <c r="C264" s="86">
        <v>1320220070</v>
      </c>
      <c r="D264" s="86"/>
      <c r="E264" s="87" t="s">
        <v>145</v>
      </c>
      <c r="F264" s="21">
        <f>F265</f>
        <v>1977.4</v>
      </c>
      <c r="G264" s="21">
        <f t="shared" ref="G264:H265" si="93">G265</f>
        <v>1998.4</v>
      </c>
      <c r="H264" s="21">
        <f t="shared" si="93"/>
        <v>601.4</v>
      </c>
    </row>
    <row r="265" spans="1:8" ht="31.5">
      <c r="A265" s="86" t="s">
        <v>21</v>
      </c>
      <c r="B265" s="86" t="s">
        <v>52</v>
      </c>
      <c r="C265" s="86">
        <v>1320220070</v>
      </c>
      <c r="D265" s="88" t="s">
        <v>72</v>
      </c>
      <c r="E265" s="87" t="s">
        <v>102</v>
      </c>
      <c r="F265" s="21">
        <f>F266</f>
        <v>1977.4</v>
      </c>
      <c r="G265" s="21">
        <f t="shared" si="93"/>
        <v>1998.4</v>
      </c>
      <c r="H265" s="21">
        <f t="shared" si="93"/>
        <v>601.4</v>
      </c>
    </row>
    <row r="266" spans="1:8" ht="31.5">
      <c r="A266" s="86" t="s">
        <v>21</v>
      </c>
      <c r="B266" s="86" t="s">
        <v>52</v>
      </c>
      <c r="C266" s="86">
        <v>1320220070</v>
      </c>
      <c r="D266" s="86">
        <v>240</v>
      </c>
      <c r="E266" s="87" t="s">
        <v>315</v>
      </c>
      <c r="F266" s="21">
        <f>1998.4-21</f>
        <v>1977.4</v>
      </c>
      <c r="G266" s="21">
        <v>1998.4</v>
      </c>
      <c r="H266" s="21">
        <v>601.4</v>
      </c>
    </row>
    <row r="267" spans="1:8">
      <c r="A267" s="86" t="s">
        <v>21</v>
      </c>
      <c r="B267" s="86" t="s">
        <v>52</v>
      </c>
      <c r="C267" s="86">
        <v>1320220080</v>
      </c>
      <c r="D267" s="86"/>
      <c r="E267" s="87" t="s">
        <v>146</v>
      </c>
      <c r="F267" s="21">
        <f>F268</f>
        <v>103.9</v>
      </c>
      <c r="G267" s="21">
        <f t="shared" ref="G267:H268" si="94">G268</f>
        <v>145.9</v>
      </c>
      <c r="H267" s="21">
        <f t="shared" si="94"/>
        <v>145.9</v>
      </c>
    </row>
    <row r="268" spans="1:8" ht="31.5">
      <c r="A268" s="86" t="s">
        <v>21</v>
      </c>
      <c r="B268" s="86" t="s">
        <v>52</v>
      </c>
      <c r="C268" s="86">
        <v>1320220080</v>
      </c>
      <c r="D268" s="88" t="s">
        <v>72</v>
      </c>
      <c r="E268" s="87" t="s">
        <v>102</v>
      </c>
      <c r="F268" s="21">
        <f>F269</f>
        <v>103.9</v>
      </c>
      <c r="G268" s="21">
        <f t="shared" si="94"/>
        <v>145.9</v>
      </c>
      <c r="H268" s="21">
        <f t="shared" si="94"/>
        <v>145.9</v>
      </c>
    </row>
    <row r="269" spans="1:8" ht="31.5">
      <c r="A269" s="86" t="s">
        <v>21</v>
      </c>
      <c r="B269" s="86" t="s">
        <v>52</v>
      </c>
      <c r="C269" s="86">
        <v>1320220080</v>
      </c>
      <c r="D269" s="86">
        <v>240</v>
      </c>
      <c r="E269" s="87" t="s">
        <v>315</v>
      </c>
      <c r="F269" s="21">
        <f>145.9-12-30</f>
        <v>103.9</v>
      </c>
      <c r="G269" s="21">
        <v>145.9</v>
      </c>
      <c r="H269" s="21">
        <v>145.9</v>
      </c>
    </row>
    <row r="270" spans="1:8" ht="31.5">
      <c r="A270" s="86" t="s">
        <v>21</v>
      </c>
      <c r="B270" s="86" t="s">
        <v>52</v>
      </c>
      <c r="C270" s="86">
        <v>1320220090</v>
      </c>
      <c r="D270" s="86"/>
      <c r="E270" s="66" t="s">
        <v>424</v>
      </c>
      <c r="F270" s="21">
        <f>F271</f>
        <v>30</v>
      </c>
      <c r="G270" s="21">
        <f t="shared" ref="G270:H271" si="95">G271</f>
        <v>0</v>
      </c>
      <c r="H270" s="21">
        <f t="shared" si="95"/>
        <v>0</v>
      </c>
    </row>
    <row r="271" spans="1:8" ht="31.5">
      <c r="A271" s="86" t="s">
        <v>21</v>
      </c>
      <c r="B271" s="86" t="s">
        <v>52</v>
      </c>
      <c r="C271" s="86">
        <v>1320220090</v>
      </c>
      <c r="D271" s="88" t="s">
        <v>72</v>
      </c>
      <c r="E271" s="87" t="s">
        <v>102</v>
      </c>
      <c r="F271" s="21">
        <f>F272</f>
        <v>30</v>
      </c>
      <c r="G271" s="21">
        <f t="shared" si="95"/>
        <v>0</v>
      </c>
      <c r="H271" s="21">
        <f t="shared" si="95"/>
        <v>0</v>
      </c>
    </row>
    <row r="272" spans="1:8" ht="31.5">
      <c r="A272" s="86" t="s">
        <v>21</v>
      </c>
      <c r="B272" s="86" t="s">
        <v>52</v>
      </c>
      <c r="C272" s="86">
        <v>1320220090</v>
      </c>
      <c r="D272" s="86">
        <v>240</v>
      </c>
      <c r="E272" s="87" t="s">
        <v>315</v>
      </c>
      <c r="F272" s="21">
        <v>30</v>
      </c>
      <c r="G272" s="21">
        <v>0</v>
      </c>
      <c r="H272" s="21">
        <v>0</v>
      </c>
    </row>
    <row r="273" spans="1:8" ht="31.5">
      <c r="A273" s="86" t="s">
        <v>21</v>
      </c>
      <c r="B273" s="86" t="s">
        <v>52</v>
      </c>
      <c r="C273" s="86" t="s">
        <v>148</v>
      </c>
      <c r="D273" s="86"/>
      <c r="E273" s="87" t="s">
        <v>147</v>
      </c>
      <c r="F273" s="21">
        <f>F274</f>
        <v>272.60000000000002</v>
      </c>
      <c r="G273" s="21">
        <f t="shared" ref="G273:H274" si="96">G274</f>
        <v>368.7</v>
      </c>
      <c r="H273" s="21">
        <f t="shared" si="96"/>
        <v>0</v>
      </c>
    </row>
    <row r="274" spans="1:8" ht="31.5">
      <c r="A274" s="86" t="s">
        <v>21</v>
      </c>
      <c r="B274" s="86" t="s">
        <v>52</v>
      </c>
      <c r="C274" s="86" t="s">
        <v>148</v>
      </c>
      <c r="D274" s="88" t="s">
        <v>72</v>
      </c>
      <c r="E274" s="87" t="s">
        <v>102</v>
      </c>
      <c r="F274" s="21">
        <f>F275</f>
        <v>272.60000000000002</v>
      </c>
      <c r="G274" s="21">
        <f t="shared" si="96"/>
        <v>368.7</v>
      </c>
      <c r="H274" s="21">
        <f t="shared" si="96"/>
        <v>0</v>
      </c>
    </row>
    <row r="275" spans="1:8" ht="31.5">
      <c r="A275" s="86" t="s">
        <v>21</v>
      </c>
      <c r="B275" s="86" t="s">
        <v>52</v>
      </c>
      <c r="C275" s="86" t="s">
        <v>148</v>
      </c>
      <c r="D275" s="86">
        <v>240</v>
      </c>
      <c r="E275" s="87" t="s">
        <v>315</v>
      </c>
      <c r="F275" s="21">
        <f>368.7+64.4+145.1-305.6</f>
        <v>272.60000000000002</v>
      </c>
      <c r="G275" s="21">
        <v>368.7</v>
      </c>
      <c r="H275" s="21">
        <v>0</v>
      </c>
    </row>
    <row r="276" spans="1:8" ht="78.75">
      <c r="A276" s="128" t="s">
        <v>21</v>
      </c>
      <c r="B276" s="128" t="s">
        <v>52</v>
      </c>
      <c r="C276" s="128" t="s">
        <v>773</v>
      </c>
      <c r="D276" s="128"/>
      <c r="E276" s="129" t="s">
        <v>778</v>
      </c>
      <c r="F276" s="21">
        <f>F277</f>
        <v>305.60000000000002</v>
      </c>
      <c r="G276" s="21">
        <f t="shared" ref="G276:H277" si="97">G277</f>
        <v>0</v>
      </c>
      <c r="H276" s="21">
        <f t="shared" si="97"/>
        <v>0</v>
      </c>
    </row>
    <row r="277" spans="1:8" ht="31.5">
      <c r="A277" s="128" t="s">
        <v>21</v>
      </c>
      <c r="B277" s="128" t="s">
        <v>52</v>
      </c>
      <c r="C277" s="192" t="s">
        <v>773</v>
      </c>
      <c r="D277" s="130" t="s">
        <v>72</v>
      </c>
      <c r="E277" s="129" t="s">
        <v>102</v>
      </c>
      <c r="F277" s="21">
        <f>F278</f>
        <v>305.60000000000002</v>
      </c>
      <c r="G277" s="21">
        <f t="shared" si="97"/>
        <v>0</v>
      </c>
      <c r="H277" s="21">
        <f t="shared" si="97"/>
        <v>0</v>
      </c>
    </row>
    <row r="278" spans="1:8" ht="31.5">
      <c r="A278" s="128" t="s">
        <v>21</v>
      </c>
      <c r="B278" s="128" t="s">
        <v>52</v>
      </c>
      <c r="C278" s="192" t="s">
        <v>773</v>
      </c>
      <c r="D278" s="128">
        <v>240</v>
      </c>
      <c r="E278" s="129" t="s">
        <v>315</v>
      </c>
      <c r="F278" s="21">
        <v>305.60000000000002</v>
      </c>
      <c r="G278" s="21">
        <v>0</v>
      </c>
      <c r="H278" s="21">
        <v>0</v>
      </c>
    </row>
    <row r="279" spans="1:8" ht="18.600000000000001" customHeight="1">
      <c r="A279" s="86" t="s">
        <v>21</v>
      </c>
      <c r="B279" s="86" t="s">
        <v>52</v>
      </c>
      <c r="C279" s="88">
        <v>1330000000</v>
      </c>
      <c r="D279" s="86"/>
      <c r="E279" s="87" t="s">
        <v>136</v>
      </c>
      <c r="F279" s="21">
        <f>F280</f>
        <v>158.9</v>
      </c>
      <c r="G279" s="21">
        <f t="shared" ref="G279:H282" si="98">G280</f>
        <v>156.9</v>
      </c>
      <c r="H279" s="21">
        <f t="shared" si="98"/>
        <v>304</v>
      </c>
    </row>
    <row r="280" spans="1:8" ht="47.25">
      <c r="A280" s="86" t="s">
        <v>21</v>
      </c>
      <c r="B280" s="86" t="s">
        <v>52</v>
      </c>
      <c r="C280" s="88">
        <v>1330200000</v>
      </c>
      <c r="D280" s="86"/>
      <c r="E280" s="87" t="s">
        <v>268</v>
      </c>
      <c r="F280" s="21">
        <f>F281</f>
        <v>158.9</v>
      </c>
      <c r="G280" s="21">
        <f t="shared" si="98"/>
        <v>156.9</v>
      </c>
      <c r="H280" s="21">
        <f t="shared" si="98"/>
        <v>304</v>
      </c>
    </row>
    <row r="281" spans="1:8">
      <c r="A281" s="86" t="s">
        <v>21</v>
      </c>
      <c r="B281" s="86" t="s">
        <v>52</v>
      </c>
      <c r="C281" s="88">
        <v>1330220090</v>
      </c>
      <c r="D281" s="86"/>
      <c r="E281" s="87" t="s">
        <v>149</v>
      </c>
      <c r="F281" s="21">
        <f>F282</f>
        <v>158.9</v>
      </c>
      <c r="G281" s="21">
        <f t="shared" si="98"/>
        <v>156.9</v>
      </c>
      <c r="H281" s="21">
        <f t="shared" si="98"/>
        <v>304</v>
      </c>
    </row>
    <row r="282" spans="1:8" ht="31.5">
      <c r="A282" s="86" t="s">
        <v>21</v>
      </c>
      <c r="B282" s="86" t="s">
        <v>52</v>
      </c>
      <c r="C282" s="88">
        <v>1330220090</v>
      </c>
      <c r="D282" s="88" t="s">
        <v>72</v>
      </c>
      <c r="E282" s="87" t="s">
        <v>102</v>
      </c>
      <c r="F282" s="21">
        <f>F283</f>
        <v>158.9</v>
      </c>
      <c r="G282" s="21">
        <f t="shared" si="98"/>
        <v>156.9</v>
      </c>
      <c r="H282" s="21">
        <f t="shared" si="98"/>
        <v>304</v>
      </c>
    </row>
    <row r="283" spans="1:8" ht="31.5">
      <c r="A283" s="86" t="s">
        <v>21</v>
      </c>
      <c r="B283" s="86" t="s">
        <v>52</v>
      </c>
      <c r="C283" s="88">
        <v>1330220090</v>
      </c>
      <c r="D283" s="86">
        <v>240</v>
      </c>
      <c r="E283" s="87" t="s">
        <v>315</v>
      </c>
      <c r="F283" s="21">
        <f>304-145.1</f>
        <v>158.9</v>
      </c>
      <c r="G283" s="21">
        <f>304-147.1</f>
        <v>156.9</v>
      </c>
      <c r="H283" s="21">
        <v>304</v>
      </c>
    </row>
    <row r="284" spans="1:8">
      <c r="A284" s="86" t="s">
        <v>21</v>
      </c>
      <c r="B284" s="86" t="s">
        <v>39</v>
      </c>
      <c r="C284" s="86" t="s">
        <v>69</v>
      </c>
      <c r="D284" s="86" t="s">
        <v>69</v>
      </c>
      <c r="E284" s="87" t="s">
        <v>31</v>
      </c>
      <c r="F284" s="21">
        <f>F301+F332+F325+F285</f>
        <v>74052.100000000006</v>
      </c>
      <c r="G284" s="21">
        <f>G301+G332+G325+G285</f>
        <v>111568.6</v>
      </c>
      <c r="H284" s="21">
        <f>H301+H332+H325+H285</f>
        <v>28591</v>
      </c>
    </row>
    <row r="285" spans="1:8">
      <c r="A285" s="86" t="s">
        <v>21</v>
      </c>
      <c r="B285" s="86" t="s">
        <v>53</v>
      </c>
      <c r="C285" s="86" t="s">
        <v>69</v>
      </c>
      <c r="D285" s="86" t="s">
        <v>69</v>
      </c>
      <c r="E285" s="87" t="s">
        <v>11</v>
      </c>
      <c r="F285" s="21">
        <f t="shared" ref="F285:F299" si="99">F286</f>
        <v>38734.100000000006</v>
      </c>
      <c r="G285" s="21">
        <f t="shared" ref="G285:H299" si="100">G286</f>
        <v>82324.3</v>
      </c>
      <c r="H285" s="21">
        <f t="shared" si="100"/>
        <v>0</v>
      </c>
    </row>
    <row r="286" spans="1:8" ht="47.25">
      <c r="A286" s="86" t="s">
        <v>21</v>
      </c>
      <c r="B286" s="86" t="s">
        <v>53</v>
      </c>
      <c r="C286" s="88">
        <v>1200000000</v>
      </c>
      <c r="D286" s="86"/>
      <c r="E286" s="87" t="s">
        <v>216</v>
      </c>
      <c r="F286" s="21">
        <f t="shared" si="99"/>
        <v>38734.100000000006</v>
      </c>
      <c r="G286" s="21">
        <f t="shared" si="100"/>
        <v>82324.3</v>
      </c>
      <c r="H286" s="21">
        <f t="shared" si="100"/>
        <v>0</v>
      </c>
    </row>
    <row r="287" spans="1:8" ht="31.5">
      <c r="A287" s="86" t="s">
        <v>21</v>
      </c>
      <c r="B287" s="86" t="s">
        <v>53</v>
      </c>
      <c r="C287" s="88">
        <v>1250000000</v>
      </c>
      <c r="D287" s="86"/>
      <c r="E287" s="87" t="s">
        <v>325</v>
      </c>
      <c r="F287" s="21">
        <f t="shared" si="99"/>
        <v>38734.100000000006</v>
      </c>
      <c r="G287" s="21">
        <f t="shared" si="100"/>
        <v>82324.3</v>
      </c>
      <c r="H287" s="21">
        <f t="shared" si="100"/>
        <v>0</v>
      </c>
    </row>
    <row r="288" spans="1:8" ht="48.75" customHeight="1">
      <c r="A288" s="86" t="s">
        <v>21</v>
      </c>
      <c r="B288" s="86" t="s">
        <v>53</v>
      </c>
      <c r="C288" s="88" t="s">
        <v>339</v>
      </c>
      <c r="D288" s="86"/>
      <c r="E288" s="87" t="s">
        <v>336</v>
      </c>
      <c r="F288" s="21">
        <f>F298+F289+F295+F292</f>
        <v>38734.100000000006</v>
      </c>
      <c r="G288" s="21">
        <f t="shared" ref="G288:H288" si="101">G298+G289+G295+G292</f>
        <v>82324.3</v>
      </c>
      <c r="H288" s="21">
        <f t="shared" si="101"/>
        <v>0</v>
      </c>
    </row>
    <row r="289" spans="1:8" ht="47.25">
      <c r="A289" s="86" t="s">
        <v>21</v>
      </c>
      <c r="B289" s="86" t="s">
        <v>53</v>
      </c>
      <c r="C289" s="88" t="s">
        <v>345</v>
      </c>
      <c r="D289" s="86"/>
      <c r="E289" s="87" t="s">
        <v>346</v>
      </c>
      <c r="F289" s="21">
        <f>F290</f>
        <v>0</v>
      </c>
      <c r="G289" s="21">
        <f t="shared" ref="G289:H290" si="102">G290</f>
        <v>35614</v>
      </c>
      <c r="H289" s="21">
        <f t="shared" si="102"/>
        <v>0</v>
      </c>
    </row>
    <row r="290" spans="1:8" ht="31.5">
      <c r="A290" s="86" t="s">
        <v>21</v>
      </c>
      <c r="B290" s="86" t="s">
        <v>53</v>
      </c>
      <c r="C290" s="88" t="s">
        <v>345</v>
      </c>
      <c r="D290" s="88" t="s">
        <v>75</v>
      </c>
      <c r="E290" s="66" t="s">
        <v>103</v>
      </c>
      <c r="F290" s="21">
        <f>F291</f>
        <v>0</v>
      </c>
      <c r="G290" s="21">
        <f t="shared" si="102"/>
        <v>35614</v>
      </c>
      <c r="H290" s="21">
        <f t="shared" si="102"/>
        <v>0</v>
      </c>
    </row>
    <row r="291" spans="1:8">
      <c r="A291" s="86" t="s">
        <v>21</v>
      </c>
      <c r="B291" s="86" t="s">
        <v>53</v>
      </c>
      <c r="C291" s="88" t="s">
        <v>345</v>
      </c>
      <c r="D291" s="88" t="s">
        <v>131</v>
      </c>
      <c r="E291" s="66" t="s">
        <v>132</v>
      </c>
      <c r="F291" s="21">
        <v>0</v>
      </c>
      <c r="G291" s="21">
        <v>35614</v>
      </c>
      <c r="H291" s="21">
        <v>0</v>
      </c>
    </row>
    <row r="292" spans="1:8" ht="18.75" customHeight="1">
      <c r="A292" s="86" t="s">
        <v>21</v>
      </c>
      <c r="B292" s="86" t="s">
        <v>53</v>
      </c>
      <c r="C292" s="88" t="s">
        <v>373</v>
      </c>
      <c r="D292" s="86"/>
      <c r="E292" s="87" t="s">
        <v>374</v>
      </c>
      <c r="F292" s="21">
        <f>F293</f>
        <v>996.8</v>
      </c>
      <c r="G292" s="21">
        <f t="shared" ref="G292:H293" si="103">G293</f>
        <v>0</v>
      </c>
      <c r="H292" s="21">
        <f t="shared" si="103"/>
        <v>0</v>
      </c>
    </row>
    <row r="293" spans="1:8" ht="31.5">
      <c r="A293" s="86" t="s">
        <v>21</v>
      </c>
      <c r="B293" s="86" t="s">
        <v>53</v>
      </c>
      <c r="C293" s="88" t="s">
        <v>373</v>
      </c>
      <c r="D293" s="88" t="s">
        <v>75</v>
      </c>
      <c r="E293" s="66" t="s">
        <v>103</v>
      </c>
      <c r="F293" s="21">
        <f>F294</f>
        <v>996.8</v>
      </c>
      <c r="G293" s="21">
        <f t="shared" si="103"/>
        <v>0</v>
      </c>
      <c r="H293" s="21">
        <f t="shared" si="103"/>
        <v>0</v>
      </c>
    </row>
    <row r="294" spans="1:8">
      <c r="A294" s="86" t="s">
        <v>21</v>
      </c>
      <c r="B294" s="86" t="s">
        <v>53</v>
      </c>
      <c r="C294" s="88" t="s">
        <v>373</v>
      </c>
      <c r="D294" s="88" t="s">
        <v>131</v>
      </c>
      <c r="E294" s="66" t="s">
        <v>132</v>
      </c>
      <c r="F294" s="21">
        <f>200+670+11.9+114.9</f>
        <v>996.8</v>
      </c>
      <c r="G294" s="21">
        <v>0</v>
      </c>
      <c r="H294" s="21">
        <v>0</v>
      </c>
    </row>
    <row r="295" spans="1:8" ht="63">
      <c r="A295" s="86" t="s">
        <v>21</v>
      </c>
      <c r="B295" s="86" t="s">
        <v>53</v>
      </c>
      <c r="C295" s="88" t="s">
        <v>347</v>
      </c>
      <c r="D295" s="88"/>
      <c r="E295" s="66" t="s">
        <v>348</v>
      </c>
      <c r="F295" s="21">
        <f>F296</f>
        <v>37737.300000000003</v>
      </c>
      <c r="G295" s="21">
        <f t="shared" ref="G295:H296" si="104">G296</f>
        <v>37806.800000000003</v>
      </c>
      <c r="H295" s="21">
        <f t="shared" si="104"/>
        <v>0</v>
      </c>
    </row>
    <row r="296" spans="1:8" ht="31.5">
      <c r="A296" s="86" t="s">
        <v>21</v>
      </c>
      <c r="B296" s="86" t="s">
        <v>53</v>
      </c>
      <c r="C296" s="88" t="s">
        <v>347</v>
      </c>
      <c r="D296" s="88" t="s">
        <v>75</v>
      </c>
      <c r="E296" s="66" t="s">
        <v>103</v>
      </c>
      <c r="F296" s="21">
        <f>F297</f>
        <v>37737.300000000003</v>
      </c>
      <c r="G296" s="21">
        <f t="shared" si="104"/>
        <v>37806.800000000003</v>
      </c>
      <c r="H296" s="21">
        <f t="shared" si="104"/>
        <v>0</v>
      </c>
    </row>
    <row r="297" spans="1:8">
      <c r="A297" s="86" t="s">
        <v>21</v>
      </c>
      <c r="B297" s="86" t="s">
        <v>53</v>
      </c>
      <c r="C297" s="88" t="s">
        <v>347</v>
      </c>
      <c r="D297" s="88" t="s">
        <v>131</v>
      </c>
      <c r="E297" s="66" t="s">
        <v>132</v>
      </c>
      <c r="F297" s="21">
        <f>37499.5+237.8</f>
        <v>37737.300000000003</v>
      </c>
      <c r="G297" s="21">
        <f>37568.5+238.3</f>
        <v>37806.800000000003</v>
      </c>
      <c r="H297" s="21">
        <v>0</v>
      </c>
    </row>
    <row r="298" spans="1:8" ht="31.5">
      <c r="A298" s="86" t="s">
        <v>21</v>
      </c>
      <c r="B298" s="86" t="s">
        <v>53</v>
      </c>
      <c r="C298" s="88" t="s">
        <v>340</v>
      </c>
      <c r="D298" s="86"/>
      <c r="E298" s="87" t="s">
        <v>338</v>
      </c>
      <c r="F298" s="21">
        <f t="shared" si="99"/>
        <v>0</v>
      </c>
      <c r="G298" s="21">
        <f t="shared" si="100"/>
        <v>8903.5</v>
      </c>
      <c r="H298" s="21">
        <f t="shared" si="100"/>
        <v>0</v>
      </c>
    </row>
    <row r="299" spans="1:8" ht="31.5">
      <c r="A299" s="86" t="s">
        <v>21</v>
      </c>
      <c r="B299" s="86" t="s">
        <v>53</v>
      </c>
      <c r="C299" s="88" t="s">
        <v>340</v>
      </c>
      <c r="D299" s="88" t="s">
        <v>75</v>
      </c>
      <c r="E299" s="66" t="s">
        <v>103</v>
      </c>
      <c r="F299" s="21">
        <f t="shared" si="99"/>
        <v>0</v>
      </c>
      <c r="G299" s="21">
        <f t="shared" si="100"/>
        <v>8903.5</v>
      </c>
      <c r="H299" s="21">
        <f t="shared" si="100"/>
        <v>0</v>
      </c>
    </row>
    <row r="300" spans="1:8">
      <c r="A300" s="86" t="s">
        <v>21</v>
      </c>
      <c r="B300" s="86" t="s">
        <v>53</v>
      </c>
      <c r="C300" s="88" t="s">
        <v>340</v>
      </c>
      <c r="D300" s="88" t="s">
        <v>131</v>
      </c>
      <c r="E300" s="66" t="s">
        <v>132</v>
      </c>
      <c r="F300" s="21">
        <f>3300-3300</f>
        <v>0</v>
      </c>
      <c r="G300" s="21">
        <v>8903.5</v>
      </c>
      <c r="H300" s="21">
        <v>0</v>
      </c>
    </row>
    <row r="301" spans="1:8">
      <c r="A301" s="9" t="s">
        <v>21</v>
      </c>
      <c r="B301" s="9" t="s">
        <v>97</v>
      </c>
      <c r="C301" s="10"/>
      <c r="D301" s="10"/>
      <c r="E301" s="87" t="s">
        <v>98</v>
      </c>
      <c r="F301" s="21">
        <f>F302+F320</f>
        <v>34714.700000000004</v>
      </c>
      <c r="G301" s="21">
        <f>G302+G320</f>
        <v>28555</v>
      </c>
      <c r="H301" s="21">
        <f>H302+H320</f>
        <v>28555</v>
      </c>
    </row>
    <row r="302" spans="1:8" ht="36" customHeight="1">
      <c r="A302" s="9" t="s">
        <v>21</v>
      </c>
      <c r="B302" s="86" t="s">
        <v>97</v>
      </c>
      <c r="C302" s="88">
        <v>1100000000</v>
      </c>
      <c r="D302" s="86"/>
      <c r="E302" s="87" t="s">
        <v>221</v>
      </c>
      <c r="F302" s="21">
        <f t="shared" ref="F302:H312" si="105">F303</f>
        <v>34614.700000000004</v>
      </c>
      <c r="G302" s="21">
        <f t="shared" si="105"/>
        <v>28555</v>
      </c>
      <c r="H302" s="21">
        <f t="shared" si="105"/>
        <v>28555</v>
      </c>
    </row>
    <row r="303" spans="1:8">
      <c r="A303" s="9" t="s">
        <v>21</v>
      </c>
      <c r="B303" s="86" t="s">
        <v>97</v>
      </c>
      <c r="C303" s="88">
        <v>1120000000</v>
      </c>
      <c r="D303" s="86"/>
      <c r="E303" s="87" t="s">
        <v>133</v>
      </c>
      <c r="F303" s="21">
        <f>F304</f>
        <v>34614.700000000004</v>
      </c>
      <c r="G303" s="21">
        <f t="shared" si="105"/>
        <v>28555</v>
      </c>
      <c r="H303" s="21">
        <f t="shared" si="105"/>
        <v>28555</v>
      </c>
    </row>
    <row r="304" spans="1:8" ht="47.25">
      <c r="A304" s="9" t="s">
        <v>21</v>
      </c>
      <c r="B304" s="86" t="s">
        <v>97</v>
      </c>
      <c r="C304" s="88">
        <v>1120100000</v>
      </c>
      <c r="D304" s="86"/>
      <c r="E304" s="87" t="s">
        <v>134</v>
      </c>
      <c r="F304" s="21">
        <f>F311+F305+F314+F308+F317</f>
        <v>34614.700000000004</v>
      </c>
      <c r="G304" s="21">
        <f>G311+G305+G314+G308+G317</f>
        <v>28555</v>
      </c>
      <c r="H304" s="21">
        <f>H311+H305+H314+H308+H317</f>
        <v>28555</v>
      </c>
    </row>
    <row r="305" spans="1:8" ht="47.25">
      <c r="A305" s="9" t="s">
        <v>21</v>
      </c>
      <c r="B305" s="86" t="s">
        <v>97</v>
      </c>
      <c r="C305" s="86">
        <v>1120110690</v>
      </c>
      <c r="D305" s="86"/>
      <c r="E305" s="66" t="s">
        <v>404</v>
      </c>
      <c r="F305" s="21">
        <f>F306</f>
        <v>5173.5</v>
      </c>
      <c r="G305" s="21">
        <f t="shared" ref="G305:H306" si="106">G306</f>
        <v>0</v>
      </c>
      <c r="H305" s="21">
        <f t="shared" si="106"/>
        <v>0</v>
      </c>
    </row>
    <row r="306" spans="1:8" ht="31.5">
      <c r="A306" s="9" t="s">
        <v>21</v>
      </c>
      <c r="B306" s="86" t="s">
        <v>97</v>
      </c>
      <c r="C306" s="86">
        <v>1120110690</v>
      </c>
      <c r="D306" s="88" t="s">
        <v>104</v>
      </c>
      <c r="E306" s="66" t="s">
        <v>105</v>
      </c>
      <c r="F306" s="21">
        <f>F307</f>
        <v>5173.5</v>
      </c>
      <c r="G306" s="21">
        <f t="shared" si="106"/>
        <v>0</v>
      </c>
      <c r="H306" s="21">
        <f t="shared" si="106"/>
        <v>0</v>
      </c>
    </row>
    <row r="307" spans="1:8">
      <c r="A307" s="9" t="s">
        <v>21</v>
      </c>
      <c r="B307" s="86" t="s">
        <v>97</v>
      </c>
      <c r="C307" s="86">
        <v>1120110690</v>
      </c>
      <c r="D307" s="86">
        <v>610</v>
      </c>
      <c r="E307" s="66" t="s">
        <v>115</v>
      </c>
      <c r="F307" s="21">
        <f>4533.3+640.2</f>
        <v>5173.5</v>
      </c>
      <c r="G307" s="21">
        <v>0</v>
      </c>
      <c r="H307" s="21">
        <v>0</v>
      </c>
    </row>
    <row r="308" spans="1:8" ht="63">
      <c r="A308" s="9" t="s">
        <v>21</v>
      </c>
      <c r="B308" s="86" t="s">
        <v>97</v>
      </c>
      <c r="C308" s="10" t="s">
        <v>415</v>
      </c>
      <c r="D308" s="11"/>
      <c r="E308" s="8" t="s">
        <v>416</v>
      </c>
      <c r="F308" s="21">
        <f>F309</f>
        <v>847.3</v>
      </c>
      <c r="G308" s="21">
        <f t="shared" ref="G308:H309" si="107">G309</f>
        <v>0</v>
      </c>
      <c r="H308" s="21">
        <f t="shared" si="107"/>
        <v>0</v>
      </c>
    </row>
    <row r="309" spans="1:8" ht="31.5">
      <c r="A309" s="9" t="s">
        <v>21</v>
      </c>
      <c r="B309" s="86" t="s">
        <v>97</v>
      </c>
      <c r="C309" s="10" t="s">
        <v>415</v>
      </c>
      <c r="D309" s="88" t="s">
        <v>104</v>
      </c>
      <c r="E309" s="66" t="s">
        <v>105</v>
      </c>
      <c r="F309" s="21">
        <f>F310</f>
        <v>847.3</v>
      </c>
      <c r="G309" s="21">
        <f t="shared" si="107"/>
        <v>0</v>
      </c>
      <c r="H309" s="21">
        <f t="shared" si="107"/>
        <v>0</v>
      </c>
    </row>
    <row r="310" spans="1:8">
      <c r="A310" s="9" t="s">
        <v>21</v>
      </c>
      <c r="B310" s="86" t="s">
        <v>97</v>
      </c>
      <c r="C310" s="10" t="s">
        <v>415</v>
      </c>
      <c r="D310" s="86">
        <v>610</v>
      </c>
      <c r="E310" s="66" t="s">
        <v>115</v>
      </c>
      <c r="F310" s="21">
        <f>847.3</f>
        <v>847.3</v>
      </c>
      <c r="G310" s="21">
        <v>0</v>
      </c>
      <c r="H310" s="21">
        <v>0</v>
      </c>
    </row>
    <row r="311" spans="1:8" ht="31.5">
      <c r="A311" s="9" t="s">
        <v>21</v>
      </c>
      <c r="B311" s="86" t="s">
        <v>97</v>
      </c>
      <c r="C311" s="88">
        <v>1120120010</v>
      </c>
      <c r="D311" s="86"/>
      <c r="E311" s="87" t="s">
        <v>135</v>
      </c>
      <c r="F311" s="21">
        <f t="shared" si="105"/>
        <v>28533.600000000002</v>
      </c>
      <c r="G311" s="21">
        <f t="shared" si="105"/>
        <v>28555</v>
      </c>
      <c r="H311" s="21">
        <f t="shared" si="105"/>
        <v>28555</v>
      </c>
    </row>
    <row r="312" spans="1:8" ht="31.5">
      <c r="A312" s="9" t="s">
        <v>21</v>
      </c>
      <c r="B312" s="86" t="s">
        <v>97</v>
      </c>
      <c r="C312" s="88">
        <v>1120120010</v>
      </c>
      <c r="D312" s="88" t="s">
        <v>104</v>
      </c>
      <c r="E312" s="87" t="s">
        <v>105</v>
      </c>
      <c r="F312" s="21">
        <f t="shared" si="105"/>
        <v>28533.600000000002</v>
      </c>
      <c r="G312" s="21">
        <f t="shared" si="105"/>
        <v>28555</v>
      </c>
      <c r="H312" s="21">
        <f t="shared" si="105"/>
        <v>28555</v>
      </c>
    </row>
    <row r="313" spans="1:8">
      <c r="A313" s="9" t="s">
        <v>21</v>
      </c>
      <c r="B313" s="86" t="s">
        <v>97</v>
      </c>
      <c r="C313" s="88">
        <v>1120120010</v>
      </c>
      <c r="D313" s="86">
        <v>610</v>
      </c>
      <c r="E313" s="87" t="s">
        <v>115</v>
      </c>
      <c r="F313" s="21">
        <f>28555+94.5-45.3-8.6-55.6-6.4</f>
        <v>28533.600000000002</v>
      </c>
      <c r="G313" s="21">
        <v>28555</v>
      </c>
      <c r="H313" s="21">
        <v>28555</v>
      </c>
    </row>
    <row r="314" spans="1:8" ht="47.25">
      <c r="A314" s="9" t="s">
        <v>21</v>
      </c>
      <c r="B314" s="86" t="s">
        <v>97</v>
      </c>
      <c r="C314" s="86" t="s">
        <v>405</v>
      </c>
      <c r="D314" s="86"/>
      <c r="E314" s="66" t="s">
        <v>406</v>
      </c>
      <c r="F314" s="21">
        <f>F315</f>
        <v>51.699999999999996</v>
      </c>
      <c r="G314" s="21">
        <f t="shared" ref="G314:H315" si="108">G315</f>
        <v>0</v>
      </c>
      <c r="H314" s="21">
        <f t="shared" si="108"/>
        <v>0</v>
      </c>
    </row>
    <row r="315" spans="1:8" ht="31.5">
      <c r="A315" s="9" t="s">
        <v>21</v>
      </c>
      <c r="B315" s="86" t="s">
        <v>97</v>
      </c>
      <c r="C315" s="86" t="s">
        <v>405</v>
      </c>
      <c r="D315" s="88" t="s">
        <v>104</v>
      </c>
      <c r="E315" s="66" t="s">
        <v>105</v>
      </c>
      <c r="F315" s="21">
        <f>F316</f>
        <v>51.699999999999996</v>
      </c>
      <c r="G315" s="21">
        <f t="shared" si="108"/>
        <v>0</v>
      </c>
      <c r="H315" s="21">
        <f t="shared" si="108"/>
        <v>0</v>
      </c>
    </row>
    <row r="316" spans="1:8">
      <c r="A316" s="9" t="s">
        <v>21</v>
      </c>
      <c r="B316" s="86" t="s">
        <v>97</v>
      </c>
      <c r="C316" s="86" t="s">
        <v>405</v>
      </c>
      <c r="D316" s="86">
        <v>610</v>
      </c>
      <c r="E316" s="66" t="s">
        <v>115</v>
      </c>
      <c r="F316" s="21">
        <f>45.3+6.4</f>
        <v>51.699999999999996</v>
      </c>
      <c r="G316" s="21">
        <v>0</v>
      </c>
      <c r="H316" s="21">
        <v>0</v>
      </c>
    </row>
    <row r="317" spans="1:8" ht="47.25" customHeight="1">
      <c r="A317" s="9" t="s">
        <v>21</v>
      </c>
      <c r="B317" s="86" t="s">
        <v>97</v>
      </c>
      <c r="C317" s="10" t="s">
        <v>418</v>
      </c>
      <c r="D317" s="11"/>
      <c r="E317" s="8" t="s">
        <v>417</v>
      </c>
      <c r="F317" s="21">
        <f>F318</f>
        <v>8.6</v>
      </c>
      <c r="G317" s="21">
        <f t="shared" ref="G317:H318" si="109">G318</f>
        <v>0</v>
      </c>
      <c r="H317" s="21">
        <f t="shared" si="109"/>
        <v>0</v>
      </c>
    </row>
    <row r="318" spans="1:8" ht="31.5">
      <c r="A318" s="9" t="s">
        <v>21</v>
      </c>
      <c r="B318" s="86" t="s">
        <v>97</v>
      </c>
      <c r="C318" s="10" t="s">
        <v>418</v>
      </c>
      <c r="D318" s="88" t="s">
        <v>104</v>
      </c>
      <c r="E318" s="66" t="s">
        <v>105</v>
      </c>
      <c r="F318" s="21">
        <f>F319</f>
        <v>8.6</v>
      </c>
      <c r="G318" s="21">
        <f t="shared" si="109"/>
        <v>0</v>
      </c>
      <c r="H318" s="21">
        <f t="shared" si="109"/>
        <v>0</v>
      </c>
    </row>
    <row r="319" spans="1:8">
      <c r="A319" s="9" t="s">
        <v>21</v>
      </c>
      <c r="B319" s="86" t="s">
        <v>97</v>
      </c>
      <c r="C319" s="10" t="s">
        <v>418</v>
      </c>
      <c r="D319" s="86">
        <v>610</v>
      </c>
      <c r="E319" s="66" t="s">
        <v>115</v>
      </c>
      <c r="F319" s="21">
        <v>8.6</v>
      </c>
      <c r="G319" s="21">
        <v>0</v>
      </c>
      <c r="H319" s="21">
        <v>0</v>
      </c>
    </row>
    <row r="320" spans="1:8">
      <c r="A320" s="9" t="s">
        <v>21</v>
      </c>
      <c r="B320" s="86" t="s">
        <v>97</v>
      </c>
      <c r="C320" s="86">
        <v>9900000000</v>
      </c>
      <c r="D320" s="86"/>
      <c r="E320" s="66" t="s">
        <v>116</v>
      </c>
      <c r="F320" s="21">
        <f>F321</f>
        <v>100</v>
      </c>
      <c r="G320" s="21">
        <f t="shared" ref="G320:H323" si="110">G321</f>
        <v>0</v>
      </c>
      <c r="H320" s="21">
        <f t="shared" si="110"/>
        <v>0</v>
      </c>
    </row>
    <row r="321" spans="1:8" ht="47.25">
      <c r="A321" s="9" t="s">
        <v>21</v>
      </c>
      <c r="B321" s="86" t="s">
        <v>97</v>
      </c>
      <c r="C321" s="86">
        <v>9920000000</v>
      </c>
      <c r="D321" s="86"/>
      <c r="E321" s="66" t="s">
        <v>408</v>
      </c>
      <c r="F321" s="21">
        <f>F322</f>
        <v>100</v>
      </c>
      <c r="G321" s="21">
        <f t="shared" si="110"/>
        <v>0</v>
      </c>
      <c r="H321" s="21">
        <f t="shared" si="110"/>
        <v>0</v>
      </c>
    </row>
    <row r="322" spans="1:8" ht="47.25">
      <c r="A322" s="9" t="s">
        <v>21</v>
      </c>
      <c r="B322" s="86" t="s">
        <v>97</v>
      </c>
      <c r="C322" s="86">
        <v>9920010920</v>
      </c>
      <c r="D322" s="86"/>
      <c r="E322" s="66" t="s">
        <v>409</v>
      </c>
      <c r="F322" s="21">
        <f>F323</f>
        <v>100</v>
      </c>
      <c r="G322" s="21">
        <f t="shared" si="110"/>
        <v>0</v>
      </c>
      <c r="H322" s="21">
        <f t="shared" si="110"/>
        <v>0</v>
      </c>
    </row>
    <row r="323" spans="1:8" ht="31.5">
      <c r="A323" s="9" t="s">
        <v>21</v>
      </c>
      <c r="B323" s="86" t="s">
        <v>97</v>
      </c>
      <c r="C323" s="86">
        <v>9920010920</v>
      </c>
      <c r="D323" s="88" t="s">
        <v>104</v>
      </c>
      <c r="E323" s="66" t="s">
        <v>105</v>
      </c>
      <c r="F323" s="21">
        <f>F324</f>
        <v>100</v>
      </c>
      <c r="G323" s="21">
        <f t="shared" si="110"/>
        <v>0</v>
      </c>
      <c r="H323" s="21">
        <f t="shared" si="110"/>
        <v>0</v>
      </c>
    </row>
    <row r="324" spans="1:8">
      <c r="A324" s="9" t="s">
        <v>21</v>
      </c>
      <c r="B324" s="86" t="s">
        <v>97</v>
      </c>
      <c r="C324" s="86">
        <v>9920010920</v>
      </c>
      <c r="D324" s="86">
        <v>610</v>
      </c>
      <c r="E324" s="66" t="s">
        <v>115</v>
      </c>
      <c r="F324" s="21">
        <v>100</v>
      </c>
      <c r="G324" s="21">
        <v>0</v>
      </c>
      <c r="H324" s="21">
        <v>0</v>
      </c>
    </row>
    <row r="325" spans="1:8" ht="31.5">
      <c r="A325" s="9" t="s">
        <v>21</v>
      </c>
      <c r="B325" s="22" t="s">
        <v>249</v>
      </c>
      <c r="C325" s="88"/>
      <c r="D325" s="86"/>
      <c r="E325" s="87" t="s">
        <v>320</v>
      </c>
      <c r="F325" s="21">
        <f t="shared" ref="F325:H330" si="111">F326</f>
        <v>157.19999999999999</v>
      </c>
      <c r="G325" s="21">
        <f t="shared" si="111"/>
        <v>479</v>
      </c>
      <c r="H325" s="21">
        <f t="shared" si="111"/>
        <v>0</v>
      </c>
    </row>
    <row r="326" spans="1:8" ht="47.25">
      <c r="A326" s="9" t="s">
        <v>21</v>
      </c>
      <c r="B326" s="22" t="s">
        <v>249</v>
      </c>
      <c r="C326" s="88">
        <v>1600000000</v>
      </c>
      <c r="D326" s="88"/>
      <c r="E326" s="87" t="s">
        <v>125</v>
      </c>
      <c r="F326" s="21">
        <f t="shared" si="111"/>
        <v>157.19999999999999</v>
      </c>
      <c r="G326" s="21">
        <f t="shared" si="111"/>
        <v>479</v>
      </c>
      <c r="H326" s="21">
        <f t="shared" si="111"/>
        <v>0</v>
      </c>
    </row>
    <row r="327" spans="1:8" ht="47.25">
      <c r="A327" s="9" t="s">
        <v>21</v>
      </c>
      <c r="B327" s="22" t="s">
        <v>249</v>
      </c>
      <c r="C327" s="88">
        <v>1640000000</v>
      </c>
      <c r="D327" s="1"/>
      <c r="E327" s="57" t="s">
        <v>251</v>
      </c>
      <c r="F327" s="21">
        <f t="shared" si="111"/>
        <v>157.19999999999999</v>
      </c>
      <c r="G327" s="21">
        <f t="shared" si="111"/>
        <v>479</v>
      </c>
      <c r="H327" s="21">
        <f t="shared" si="111"/>
        <v>0</v>
      </c>
    </row>
    <row r="328" spans="1:8" ht="31.5">
      <c r="A328" s="9" t="s">
        <v>21</v>
      </c>
      <c r="B328" s="22" t="s">
        <v>249</v>
      </c>
      <c r="C328" s="88">
        <v>1640100000</v>
      </c>
      <c r="D328" s="86"/>
      <c r="E328" s="87" t="s">
        <v>253</v>
      </c>
      <c r="F328" s="21">
        <f t="shared" si="111"/>
        <v>157.19999999999999</v>
      </c>
      <c r="G328" s="21">
        <f t="shared" si="111"/>
        <v>479</v>
      </c>
      <c r="H328" s="21">
        <f t="shared" si="111"/>
        <v>0</v>
      </c>
    </row>
    <row r="329" spans="1:8">
      <c r="A329" s="9" t="s">
        <v>21</v>
      </c>
      <c r="B329" s="22" t="s">
        <v>249</v>
      </c>
      <c r="C329" s="88">
        <v>1640120510</v>
      </c>
      <c r="D329" s="86"/>
      <c r="E329" s="87" t="s">
        <v>255</v>
      </c>
      <c r="F329" s="21">
        <f t="shared" si="111"/>
        <v>157.19999999999999</v>
      </c>
      <c r="G329" s="21">
        <f t="shared" si="111"/>
        <v>479</v>
      </c>
      <c r="H329" s="21">
        <f t="shared" si="111"/>
        <v>0</v>
      </c>
    </row>
    <row r="330" spans="1:8" ht="31.5">
      <c r="A330" s="9" t="s">
        <v>21</v>
      </c>
      <c r="B330" s="22" t="s">
        <v>249</v>
      </c>
      <c r="C330" s="88">
        <v>1640120510</v>
      </c>
      <c r="D330" s="88" t="s">
        <v>72</v>
      </c>
      <c r="E330" s="87" t="s">
        <v>102</v>
      </c>
      <c r="F330" s="21">
        <f t="shared" si="111"/>
        <v>157.19999999999999</v>
      </c>
      <c r="G330" s="21">
        <f t="shared" si="111"/>
        <v>479</v>
      </c>
      <c r="H330" s="21">
        <f t="shared" si="111"/>
        <v>0</v>
      </c>
    </row>
    <row r="331" spans="1:8" ht="31.5">
      <c r="A331" s="9" t="s">
        <v>21</v>
      </c>
      <c r="B331" s="22" t="s">
        <v>249</v>
      </c>
      <c r="C331" s="88">
        <v>1640120510</v>
      </c>
      <c r="D331" s="86">
        <v>240</v>
      </c>
      <c r="E331" s="87" t="s">
        <v>315</v>
      </c>
      <c r="F331" s="21">
        <f>479-321.8</f>
        <v>157.19999999999999</v>
      </c>
      <c r="G331" s="21">
        <v>479</v>
      </c>
      <c r="H331" s="21">
        <v>0</v>
      </c>
    </row>
    <row r="332" spans="1:8">
      <c r="A332" s="9" t="s">
        <v>21</v>
      </c>
      <c r="B332" s="86" t="s">
        <v>40</v>
      </c>
      <c r="C332" s="86" t="s">
        <v>69</v>
      </c>
      <c r="D332" s="86" t="s">
        <v>69</v>
      </c>
      <c r="E332" s="87" t="s">
        <v>106</v>
      </c>
      <c r="F332" s="21">
        <f>F348+F333</f>
        <v>446.1</v>
      </c>
      <c r="G332" s="21">
        <f>G348+G333</f>
        <v>210.3</v>
      </c>
      <c r="H332" s="21">
        <f>H348+H333</f>
        <v>36</v>
      </c>
    </row>
    <row r="333" spans="1:8" ht="33.75" customHeight="1">
      <c r="A333" s="9" t="s">
        <v>21</v>
      </c>
      <c r="B333" s="86" t="s">
        <v>40</v>
      </c>
      <c r="C333" s="88">
        <v>1100000000</v>
      </c>
      <c r="D333" s="86"/>
      <c r="E333" s="87" t="s">
        <v>221</v>
      </c>
      <c r="F333" s="21">
        <f>F339+F334</f>
        <v>321.5</v>
      </c>
      <c r="G333" s="21">
        <f t="shared" ref="G333:H333" si="112">G339+G334</f>
        <v>85.5</v>
      </c>
      <c r="H333" s="21">
        <f t="shared" si="112"/>
        <v>0</v>
      </c>
    </row>
    <row r="334" spans="1:8">
      <c r="A334" s="9" t="s">
        <v>21</v>
      </c>
      <c r="B334" s="86" t="s">
        <v>40</v>
      </c>
      <c r="C334" s="86">
        <v>1110000000</v>
      </c>
      <c r="D334" s="86"/>
      <c r="E334" s="87" t="s">
        <v>200</v>
      </c>
      <c r="F334" s="21">
        <f>F335</f>
        <v>236</v>
      </c>
      <c r="G334" s="21">
        <f t="shared" ref="G334:H337" si="113">G335</f>
        <v>0</v>
      </c>
      <c r="H334" s="21">
        <f t="shared" si="113"/>
        <v>0</v>
      </c>
    </row>
    <row r="335" spans="1:8">
      <c r="A335" s="9" t="s">
        <v>21</v>
      </c>
      <c r="B335" s="86" t="s">
        <v>40</v>
      </c>
      <c r="C335" s="86">
        <v>1110400000</v>
      </c>
      <c r="D335" s="86"/>
      <c r="E335" s="87" t="s">
        <v>210</v>
      </c>
      <c r="F335" s="21">
        <f>F336</f>
        <v>236</v>
      </c>
      <c r="G335" s="21">
        <f t="shared" si="113"/>
        <v>0</v>
      </c>
      <c r="H335" s="21">
        <f t="shared" si="113"/>
        <v>0</v>
      </c>
    </row>
    <row r="336" spans="1:8" ht="31.5">
      <c r="A336" s="9" t="s">
        <v>21</v>
      </c>
      <c r="B336" s="86" t="s">
        <v>40</v>
      </c>
      <c r="C336" s="86">
        <v>1110410240</v>
      </c>
      <c r="D336" s="86"/>
      <c r="E336" s="66" t="s">
        <v>380</v>
      </c>
      <c r="F336" s="21">
        <f>F337</f>
        <v>236</v>
      </c>
      <c r="G336" s="21">
        <f t="shared" si="113"/>
        <v>0</v>
      </c>
      <c r="H336" s="21">
        <f t="shared" si="113"/>
        <v>0</v>
      </c>
    </row>
    <row r="337" spans="1:8" ht="31.5">
      <c r="A337" s="9" t="s">
        <v>21</v>
      </c>
      <c r="B337" s="86" t="s">
        <v>40</v>
      </c>
      <c r="C337" s="86">
        <v>1110410240</v>
      </c>
      <c r="D337" s="88" t="s">
        <v>104</v>
      </c>
      <c r="E337" s="87" t="s">
        <v>105</v>
      </c>
      <c r="F337" s="21">
        <f>F338</f>
        <v>236</v>
      </c>
      <c r="G337" s="21">
        <f t="shared" si="113"/>
        <v>0</v>
      </c>
      <c r="H337" s="21">
        <f t="shared" si="113"/>
        <v>0</v>
      </c>
    </row>
    <row r="338" spans="1:8">
      <c r="A338" s="9" t="s">
        <v>21</v>
      </c>
      <c r="B338" s="86" t="s">
        <v>40</v>
      </c>
      <c r="C338" s="86">
        <v>1110410240</v>
      </c>
      <c r="D338" s="86">
        <v>610</v>
      </c>
      <c r="E338" s="87" t="s">
        <v>115</v>
      </c>
      <c r="F338" s="21">
        <v>236</v>
      </c>
      <c r="G338" s="21">
        <v>0</v>
      </c>
      <c r="H338" s="21">
        <v>0</v>
      </c>
    </row>
    <row r="339" spans="1:8" ht="31.5">
      <c r="A339" s="9" t="s">
        <v>21</v>
      </c>
      <c r="B339" s="86" t="s">
        <v>40</v>
      </c>
      <c r="C339" s="88">
        <v>1130000000</v>
      </c>
      <c r="D339" s="86"/>
      <c r="E339" s="87" t="s">
        <v>126</v>
      </c>
      <c r="F339" s="21">
        <f>F344+F340</f>
        <v>85.5</v>
      </c>
      <c r="G339" s="21">
        <f>G344+G340</f>
        <v>85.5</v>
      </c>
      <c r="H339" s="21">
        <f>H344+H340</f>
        <v>0</v>
      </c>
    </row>
    <row r="340" spans="1:8" ht="31.5">
      <c r="A340" s="9" t="s">
        <v>21</v>
      </c>
      <c r="B340" s="86" t="s">
        <v>40</v>
      </c>
      <c r="C340" s="86">
        <v>1130200000</v>
      </c>
      <c r="D340" s="86"/>
      <c r="E340" s="87" t="s">
        <v>213</v>
      </c>
      <c r="F340" s="21">
        <f>F341</f>
        <v>15.7</v>
      </c>
      <c r="G340" s="21">
        <f t="shared" ref="G340:H342" si="114">G341</f>
        <v>15.7</v>
      </c>
      <c r="H340" s="21">
        <f t="shared" si="114"/>
        <v>0</v>
      </c>
    </row>
    <row r="341" spans="1:8" ht="31.5">
      <c r="A341" s="9" t="s">
        <v>21</v>
      </c>
      <c r="B341" s="86" t="s">
        <v>40</v>
      </c>
      <c r="C341" s="86">
        <v>1130220270</v>
      </c>
      <c r="D341" s="86"/>
      <c r="E341" s="87" t="s">
        <v>214</v>
      </c>
      <c r="F341" s="21">
        <f>F342</f>
        <v>15.7</v>
      </c>
      <c r="G341" s="21">
        <f t="shared" si="114"/>
        <v>15.7</v>
      </c>
      <c r="H341" s="21">
        <f t="shared" si="114"/>
        <v>0</v>
      </c>
    </row>
    <row r="342" spans="1:8">
      <c r="A342" s="9" t="s">
        <v>21</v>
      </c>
      <c r="B342" s="86" t="s">
        <v>40</v>
      </c>
      <c r="C342" s="86">
        <v>1130220270</v>
      </c>
      <c r="D342" s="88" t="s">
        <v>76</v>
      </c>
      <c r="E342" s="87" t="s">
        <v>77</v>
      </c>
      <c r="F342" s="21">
        <f>F343</f>
        <v>15.7</v>
      </c>
      <c r="G342" s="21">
        <f t="shared" si="114"/>
        <v>15.7</v>
      </c>
      <c r="H342" s="21">
        <f t="shared" si="114"/>
        <v>0</v>
      </c>
    </row>
    <row r="343" spans="1:8">
      <c r="A343" s="9" t="s">
        <v>21</v>
      </c>
      <c r="B343" s="86" t="s">
        <v>40</v>
      </c>
      <c r="C343" s="86">
        <v>1130220270</v>
      </c>
      <c r="D343" s="86">
        <v>350</v>
      </c>
      <c r="E343" s="87" t="s">
        <v>181</v>
      </c>
      <c r="F343" s="21">
        <v>15.7</v>
      </c>
      <c r="G343" s="21">
        <v>15.7</v>
      </c>
      <c r="H343" s="21">
        <v>0</v>
      </c>
    </row>
    <row r="344" spans="1:8" ht="31.5">
      <c r="A344" s="9" t="s">
        <v>21</v>
      </c>
      <c r="B344" s="86" t="s">
        <v>40</v>
      </c>
      <c r="C344" s="86">
        <v>1130400000</v>
      </c>
      <c r="D344" s="86"/>
      <c r="E344" s="87" t="s">
        <v>160</v>
      </c>
      <c r="F344" s="21">
        <f>F345</f>
        <v>69.8</v>
      </c>
      <c r="G344" s="21">
        <f t="shared" ref="G344:H346" si="115">G345</f>
        <v>69.8</v>
      </c>
      <c r="H344" s="21">
        <f t="shared" si="115"/>
        <v>0</v>
      </c>
    </row>
    <row r="345" spans="1:8" ht="31.5">
      <c r="A345" s="9" t="s">
        <v>21</v>
      </c>
      <c r="B345" s="86" t="s">
        <v>40</v>
      </c>
      <c r="C345" s="86">
        <v>1130420290</v>
      </c>
      <c r="D345" s="86"/>
      <c r="E345" s="87" t="s">
        <v>161</v>
      </c>
      <c r="F345" s="21">
        <f>F346</f>
        <v>69.8</v>
      </c>
      <c r="G345" s="21">
        <f t="shared" si="115"/>
        <v>69.8</v>
      </c>
      <c r="H345" s="21">
        <f t="shared" si="115"/>
        <v>0</v>
      </c>
    </row>
    <row r="346" spans="1:8" ht="31.5">
      <c r="A346" s="9" t="s">
        <v>21</v>
      </c>
      <c r="B346" s="86" t="s">
        <v>40</v>
      </c>
      <c r="C346" s="86">
        <v>1130420290</v>
      </c>
      <c r="D346" s="88" t="s">
        <v>72</v>
      </c>
      <c r="E346" s="87" t="s">
        <v>102</v>
      </c>
      <c r="F346" s="21">
        <f>F347</f>
        <v>69.8</v>
      </c>
      <c r="G346" s="21">
        <f t="shared" si="115"/>
        <v>69.8</v>
      </c>
      <c r="H346" s="21">
        <f t="shared" si="115"/>
        <v>0</v>
      </c>
    </row>
    <row r="347" spans="1:8" ht="31.5">
      <c r="A347" s="9" t="s">
        <v>21</v>
      </c>
      <c r="B347" s="86" t="s">
        <v>40</v>
      </c>
      <c r="C347" s="86">
        <v>1130420290</v>
      </c>
      <c r="D347" s="86">
        <v>240</v>
      </c>
      <c r="E347" s="87" t="s">
        <v>315</v>
      </c>
      <c r="F347" s="21">
        <v>69.8</v>
      </c>
      <c r="G347" s="21">
        <v>69.8</v>
      </c>
      <c r="H347" s="21">
        <v>0</v>
      </c>
    </row>
    <row r="348" spans="1:8" ht="47.25">
      <c r="A348" s="9" t="s">
        <v>21</v>
      </c>
      <c r="B348" s="86" t="s">
        <v>40</v>
      </c>
      <c r="C348" s="88">
        <v>1200000000</v>
      </c>
      <c r="D348" s="86"/>
      <c r="E348" s="87" t="s">
        <v>216</v>
      </c>
      <c r="F348" s="21">
        <f>F349</f>
        <v>124.6</v>
      </c>
      <c r="G348" s="21">
        <f t="shared" ref="G348:H352" si="116">G349</f>
        <v>124.8</v>
      </c>
      <c r="H348" s="21">
        <f t="shared" si="116"/>
        <v>36</v>
      </c>
    </row>
    <row r="349" spans="1:8" ht="31.5">
      <c r="A349" s="9" t="s">
        <v>21</v>
      </c>
      <c r="B349" s="86" t="s">
        <v>40</v>
      </c>
      <c r="C349" s="88">
        <v>1240000000</v>
      </c>
      <c r="D349" s="10"/>
      <c r="E349" s="87" t="s">
        <v>150</v>
      </c>
      <c r="F349" s="21">
        <f>F350</f>
        <v>124.6</v>
      </c>
      <c r="G349" s="21">
        <f t="shared" si="116"/>
        <v>124.8</v>
      </c>
      <c r="H349" s="21">
        <f t="shared" si="116"/>
        <v>36</v>
      </c>
    </row>
    <row r="350" spans="1:8" ht="31.5">
      <c r="A350" s="9" t="s">
        <v>21</v>
      </c>
      <c r="B350" s="86" t="s">
        <v>40</v>
      </c>
      <c r="C350" s="10" t="s">
        <v>152</v>
      </c>
      <c r="D350" s="10"/>
      <c r="E350" s="87" t="s">
        <v>160</v>
      </c>
      <c r="F350" s="21">
        <f>F351+F354+F357+F360</f>
        <v>124.6</v>
      </c>
      <c r="G350" s="21">
        <f t="shared" ref="G350:H350" si="117">G351+G354+G357+G360</f>
        <v>124.8</v>
      </c>
      <c r="H350" s="21">
        <f t="shared" si="117"/>
        <v>36</v>
      </c>
    </row>
    <row r="351" spans="1:8">
      <c r="A351" s="9" t="s">
        <v>21</v>
      </c>
      <c r="B351" s="2" t="s">
        <v>40</v>
      </c>
      <c r="C351" s="10" t="s">
        <v>248</v>
      </c>
      <c r="D351" s="11"/>
      <c r="E351" s="87" t="s">
        <v>163</v>
      </c>
      <c r="F351" s="21">
        <f>F352</f>
        <v>51.9</v>
      </c>
      <c r="G351" s="21">
        <f t="shared" si="116"/>
        <v>51.9</v>
      </c>
      <c r="H351" s="21">
        <f t="shared" si="116"/>
        <v>0</v>
      </c>
    </row>
    <row r="352" spans="1:8" ht="31.5">
      <c r="A352" s="9" t="s">
        <v>21</v>
      </c>
      <c r="B352" s="2" t="s">
        <v>40</v>
      </c>
      <c r="C352" s="10" t="s">
        <v>248</v>
      </c>
      <c r="D352" s="88" t="s">
        <v>72</v>
      </c>
      <c r="E352" s="87" t="s">
        <v>102</v>
      </c>
      <c r="F352" s="21">
        <f>F353</f>
        <v>51.9</v>
      </c>
      <c r="G352" s="21">
        <f t="shared" si="116"/>
        <v>51.9</v>
      </c>
      <c r="H352" s="21">
        <f t="shared" si="116"/>
        <v>0</v>
      </c>
    </row>
    <row r="353" spans="1:8" ht="31.5">
      <c r="A353" s="9" t="s">
        <v>21</v>
      </c>
      <c r="B353" s="2" t="s">
        <v>40</v>
      </c>
      <c r="C353" s="10" t="s">
        <v>248</v>
      </c>
      <c r="D353" s="86">
        <v>240</v>
      </c>
      <c r="E353" s="87" t="s">
        <v>315</v>
      </c>
      <c r="F353" s="21">
        <v>51.9</v>
      </c>
      <c r="G353" s="21">
        <v>51.9</v>
      </c>
      <c r="H353" s="21">
        <v>0</v>
      </c>
    </row>
    <row r="354" spans="1:8" ht="31.5">
      <c r="A354" s="9" t="s">
        <v>21</v>
      </c>
      <c r="B354" s="86" t="s">
        <v>40</v>
      </c>
      <c r="C354" s="10" t="s">
        <v>154</v>
      </c>
      <c r="D354" s="10"/>
      <c r="E354" s="87" t="s">
        <v>153</v>
      </c>
      <c r="F354" s="21">
        <f>F355</f>
        <v>22.7</v>
      </c>
      <c r="G354" s="21">
        <f t="shared" ref="G354:H355" si="118">G355</f>
        <v>22.9</v>
      </c>
      <c r="H354" s="21">
        <f t="shared" si="118"/>
        <v>0</v>
      </c>
    </row>
    <row r="355" spans="1:8" ht="31.5">
      <c r="A355" s="9" t="s">
        <v>21</v>
      </c>
      <c r="B355" s="86" t="s">
        <v>40</v>
      </c>
      <c r="C355" s="10" t="s">
        <v>154</v>
      </c>
      <c r="D355" s="88" t="s">
        <v>72</v>
      </c>
      <c r="E355" s="87" t="s">
        <v>102</v>
      </c>
      <c r="F355" s="21">
        <f>F356</f>
        <v>22.7</v>
      </c>
      <c r="G355" s="21">
        <f t="shared" si="118"/>
        <v>22.9</v>
      </c>
      <c r="H355" s="21">
        <f t="shared" si="118"/>
        <v>0</v>
      </c>
    </row>
    <row r="356" spans="1:8" ht="31.5">
      <c r="A356" s="9" t="s">
        <v>21</v>
      </c>
      <c r="B356" s="86" t="s">
        <v>40</v>
      </c>
      <c r="C356" s="10" t="s">
        <v>154</v>
      </c>
      <c r="D356" s="86">
        <v>240</v>
      </c>
      <c r="E356" s="87" t="s">
        <v>315</v>
      </c>
      <c r="F356" s="21">
        <f>22.9-0.2</f>
        <v>22.7</v>
      </c>
      <c r="G356" s="21">
        <v>22.9</v>
      </c>
      <c r="H356" s="21">
        <v>0</v>
      </c>
    </row>
    <row r="357" spans="1:8" ht="31.5">
      <c r="A357" s="9" t="s">
        <v>21</v>
      </c>
      <c r="B357" s="86" t="s">
        <v>40</v>
      </c>
      <c r="C357" s="10" t="s">
        <v>156</v>
      </c>
      <c r="D357" s="10"/>
      <c r="E357" s="87" t="s">
        <v>155</v>
      </c>
      <c r="F357" s="21">
        <f>F358</f>
        <v>14</v>
      </c>
      <c r="G357" s="21">
        <f t="shared" ref="G357:H358" si="119">G358</f>
        <v>14</v>
      </c>
      <c r="H357" s="21">
        <f t="shared" si="119"/>
        <v>0</v>
      </c>
    </row>
    <row r="358" spans="1:8" ht="31.5">
      <c r="A358" s="9" t="s">
        <v>21</v>
      </c>
      <c r="B358" s="86" t="s">
        <v>40</v>
      </c>
      <c r="C358" s="10" t="s">
        <v>156</v>
      </c>
      <c r="D358" s="88" t="s">
        <v>72</v>
      </c>
      <c r="E358" s="87" t="s">
        <v>102</v>
      </c>
      <c r="F358" s="21">
        <f>F359</f>
        <v>14</v>
      </c>
      <c r="G358" s="21">
        <f t="shared" si="119"/>
        <v>14</v>
      </c>
      <c r="H358" s="21">
        <f t="shared" si="119"/>
        <v>0</v>
      </c>
    </row>
    <row r="359" spans="1:8" ht="31.5">
      <c r="A359" s="9" t="s">
        <v>21</v>
      </c>
      <c r="B359" s="86" t="s">
        <v>40</v>
      </c>
      <c r="C359" s="10" t="s">
        <v>156</v>
      </c>
      <c r="D359" s="86">
        <v>240</v>
      </c>
      <c r="E359" s="87" t="s">
        <v>315</v>
      </c>
      <c r="F359" s="21">
        <v>14</v>
      </c>
      <c r="G359" s="21">
        <v>14</v>
      </c>
      <c r="H359" s="21">
        <v>0</v>
      </c>
    </row>
    <row r="360" spans="1:8">
      <c r="A360" s="9" t="s">
        <v>21</v>
      </c>
      <c r="B360" s="86" t="s">
        <v>40</v>
      </c>
      <c r="C360" s="10" t="s">
        <v>250</v>
      </c>
      <c r="D360" s="10"/>
      <c r="E360" s="87" t="s">
        <v>157</v>
      </c>
      <c r="F360" s="21">
        <f>F361</f>
        <v>36</v>
      </c>
      <c r="G360" s="21">
        <f t="shared" ref="G360:H361" si="120">G361</f>
        <v>36</v>
      </c>
      <c r="H360" s="21">
        <f t="shared" si="120"/>
        <v>36</v>
      </c>
    </row>
    <row r="361" spans="1:8">
      <c r="A361" s="9" t="s">
        <v>21</v>
      </c>
      <c r="B361" s="86" t="s">
        <v>40</v>
      </c>
      <c r="C361" s="10" t="s">
        <v>250</v>
      </c>
      <c r="D361" s="88" t="s">
        <v>76</v>
      </c>
      <c r="E361" s="87" t="s">
        <v>77</v>
      </c>
      <c r="F361" s="21">
        <f>F362</f>
        <v>36</v>
      </c>
      <c r="G361" s="21">
        <f t="shared" si="120"/>
        <v>36</v>
      </c>
      <c r="H361" s="21">
        <f t="shared" si="120"/>
        <v>36</v>
      </c>
    </row>
    <row r="362" spans="1:8">
      <c r="A362" s="9" t="s">
        <v>21</v>
      </c>
      <c r="B362" s="86" t="s">
        <v>40</v>
      </c>
      <c r="C362" s="10" t="s">
        <v>250</v>
      </c>
      <c r="D362" s="10" t="s">
        <v>158</v>
      </c>
      <c r="E362" s="87" t="s">
        <v>159</v>
      </c>
      <c r="F362" s="21">
        <v>36</v>
      </c>
      <c r="G362" s="21">
        <v>36</v>
      </c>
      <c r="H362" s="21">
        <v>36</v>
      </c>
    </row>
    <row r="363" spans="1:8">
      <c r="A363" s="86" t="s">
        <v>21</v>
      </c>
      <c r="B363" s="86" t="s">
        <v>43</v>
      </c>
      <c r="C363" s="86" t="s">
        <v>69</v>
      </c>
      <c r="D363" s="86" t="s">
        <v>69</v>
      </c>
      <c r="E363" s="42" t="s">
        <v>85</v>
      </c>
      <c r="F363" s="21">
        <f>F364</f>
        <v>42233.7</v>
      </c>
      <c r="G363" s="21">
        <f t="shared" ref="G363" si="121">G364</f>
        <v>28181.4</v>
      </c>
      <c r="H363" s="21">
        <f>H364</f>
        <v>29052.800000000003</v>
      </c>
    </row>
    <row r="364" spans="1:8">
      <c r="A364" s="86" t="s">
        <v>21</v>
      </c>
      <c r="B364" s="86" t="s">
        <v>44</v>
      </c>
      <c r="C364" s="86" t="s">
        <v>69</v>
      </c>
      <c r="D364" s="86" t="s">
        <v>69</v>
      </c>
      <c r="E364" s="87" t="s">
        <v>14</v>
      </c>
      <c r="F364" s="21">
        <f>F365+F407</f>
        <v>42233.7</v>
      </c>
      <c r="G364" s="21">
        <f>G365+G407</f>
        <v>28181.4</v>
      </c>
      <c r="H364" s="21">
        <f>H365+H407</f>
        <v>29052.800000000003</v>
      </c>
    </row>
    <row r="365" spans="1:8" ht="47.25">
      <c r="A365" s="86" t="s">
        <v>21</v>
      </c>
      <c r="B365" s="86" t="s">
        <v>44</v>
      </c>
      <c r="C365" s="88">
        <v>1200000000</v>
      </c>
      <c r="D365" s="86"/>
      <c r="E365" s="87" t="s">
        <v>216</v>
      </c>
      <c r="F365" s="21">
        <f>F366+F384</f>
        <v>41991.7</v>
      </c>
      <c r="G365" s="21">
        <f>G366+G384</f>
        <v>28181.4</v>
      </c>
      <c r="H365" s="21">
        <f>H366+H384</f>
        <v>29052.800000000003</v>
      </c>
    </row>
    <row r="366" spans="1:8" ht="31.5">
      <c r="A366" s="86" t="s">
        <v>21</v>
      </c>
      <c r="B366" s="86" t="s">
        <v>44</v>
      </c>
      <c r="C366" s="88">
        <v>1210000000</v>
      </c>
      <c r="D366" s="86"/>
      <c r="E366" s="87" t="s">
        <v>232</v>
      </c>
      <c r="F366" s="21">
        <f>F367+F377</f>
        <v>14329.1</v>
      </c>
      <c r="G366" s="21">
        <f>G367+G377</f>
        <v>9800.4</v>
      </c>
      <c r="H366" s="21">
        <f>H367+H377</f>
        <v>9800.4</v>
      </c>
    </row>
    <row r="367" spans="1:8" ht="31.5">
      <c r="A367" s="86" t="s">
        <v>21</v>
      </c>
      <c r="B367" s="86" t="s">
        <v>44</v>
      </c>
      <c r="C367" s="88">
        <v>1210100000</v>
      </c>
      <c r="D367" s="86"/>
      <c r="E367" s="87" t="s">
        <v>233</v>
      </c>
      <c r="F367" s="21">
        <f>F371+F368+F374</f>
        <v>14209.4</v>
      </c>
      <c r="G367" s="21">
        <f t="shared" ref="G367:H367" si="122">G371+G368+G374</f>
        <v>9720.4</v>
      </c>
      <c r="H367" s="21">
        <f t="shared" si="122"/>
        <v>9720.4</v>
      </c>
    </row>
    <row r="368" spans="1:8" ht="47.25">
      <c r="A368" s="86" t="s">
        <v>21</v>
      </c>
      <c r="B368" s="86" t="s">
        <v>44</v>
      </c>
      <c r="C368" s="88">
        <v>1210110680</v>
      </c>
      <c r="D368" s="86"/>
      <c r="E368" s="73" t="s">
        <v>398</v>
      </c>
      <c r="F368" s="21">
        <f>F369</f>
        <v>4045.6000000000004</v>
      </c>
      <c r="G368" s="21">
        <f t="shared" ref="G368:H369" si="123">G369</f>
        <v>0</v>
      </c>
      <c r="H368" s="21">
        <f t="shared" si="123"/>
        <v>0</v>
      </c>
    </row>
    <row r="369" spans="1:8" ht="31.5">
      <c r="A369" s="86" t="s">
        <v>21</v>
      </c>
      <c r="B369" s="86" t="s">
        <v>44</v>
      </c>
      <c r="C369" s="88">
        <v>1210110680</v>
      </c>
      <c r="D369" s="88" t="s">
        <v>104</v>
      </c>
      <c r="E369" s="66" t="s">
        <v>105</v>
      </c>
      <c r="F369" s="21">
        <f>F370</f>
        <v>4045.6000000000004</v>
      </c>
      <c r="G369" s="21">
        <f t="shared" si="123"/>
        <v>0</v>
      </c>
      <c r="H369" s="21">
        <f t="shared" si="123"/>
        <v>0</v>
      </c>
    </row>
    <row r="370" spans="1:8">
      <c r="A370" s="86" t="s">
        <v>21</v>
      </c>
      <c r="B370" s="86" t="s">
        <v>44</v>
      </c>
      <c r="C370" s="88">
        <v>1210110680</v>
      </c>
      <c r="D370" s="86">
        <v>610</v>
      </c>
      <c r="E370" s="66" t="s">
        <v>115</v>
      </c>
      <c r="F370" s="21">
        <f>2450.4+2118.7-523.5</f>
        <v>4045.6000000000004</v>
      </c>
      <c r="G370" s="21">
        <v>0</v>
      </c>
      <c r="H370" s="21">
        <v>0</v>
      </c>
    </row>
    <row r="371" spans="1:8" ht="31.5">
      <c r="A371" s="86" t="s">
        <v>21</v>
      </c>
      <c r="B371" s="86" t="s">
        <v>44</v>
      </c>
      <c r="C371" s="88">
        <v>1210120010</v>
      </c>
      <c r="D371" s="86"/>
      <c r="E371" s="87" t="s">
        <v>135</v>
      </c>
      <c r="F371" s="21">
        <f>F372</f>
        <v>10123.299999999999</v>
      </c>
      <c r="G371" s="21">
        <f t="shared" ref="G371:H372" si="124">G372</f>
        <v>9720.4</v>
      </c>
      <c r="H371" s="21">
        <f t="shared" si="124"/>
        <v>9720.4</v>
      </c>
    </row>
    <row r="372" spans="1:8" ht="31.5">
      <c r="A372" s="86" t="s">
        <v>21</v>
      </c>
      <c r="B372" s="86" t="s">
        <v>44</v>
      </c>
      <c r="C372" s="88">
        <v>1210120010</v>
      </c>
      <c r="D372" s="88" t="s">
        <v>104</v>
      </c>
      <c r="E372" s="87" t="s">
        <v>105</v>
      </c>
      <c r="F372" s="21">
        <f>F373</f>
        <v>10123.299999999999</v>
      </c>
      <c r="G372" s="21">
        <f t="shared" si="124"/>
        <v>9720.4</v>
      </c>
      <c r="H372" s="21">
        <f t="shared" si="124"/>
        <v>9720.4</v>
      </c>
    </row>
    <row r="373" spans="1:8">
      <c r="A373" s="86" t="s">
        <v>21</v>
      </c>
      <c r="B373" s="86" t="s">
        <v>44</v>
      </c>
      <c r="C373" s="88">
        <v>1210120010</v>
      </c>
      <c r="D373" s="86">
        <v>610</v>
      </c>
      <c r="E373" s="87" t="s">
        <v>115</v>
      </c>
      <c r="F373" s="21">
        <f>9720.4-24.5-21.2+448.6</f>
        <v>10123.299999999999</v>
      </c>
      <c r="G373" s="21">
        <v>9720.4</v>
      </c>
      <c r="H373" s="21">
        <v>9720.4</v>
      </c>
    </row>
    <row r="374" spans="1:8" ht="47.25">
      <c r="A374" s="86" t="s">
        <v>21</v>
      </c>
      <c r="B374" s="86" t="s">
        <v>44</v>
      </c>
      <c r="C374" s="88" t="s">
        <v>399</v>
      </c>
      <c r="D374" s="86"/>
      <c r="E374" s="73" t="s">
        <v>400</v>
      </c>
      <c r="F374" s="21">
        <f>F375</f>
        <v>40.5</v>
      </c>
      <c r="G374" s="21">
        <f t="shared" ref="G374:H375" si="125">G375</f>
        <v>0</v>
      </c>
      <c r="H374" s="21">
        <f t="shared" si="125"/>
        <v>0</v>
      </c>
    </row>
    <row r="375" spans="1:8" ht="31.5">
      <c r="A375" s="86" t="s">
        <v>21</v>
      </c>
      <c r="B375" s="86" t="s">
        <v>44</v>
      </c>
      <c r="C375" s="88" t="s">
        <v>399</v>
      </c>
      <c r="D375" s="88" t="s">
        <v>104</v>
      </c>
      <c r="E375" s="66" t="s">
        <v>105</v>
      </c>
      <c r="F375" s="21">
        <f>F376</f>
        <v>40.5</v>
      </c>
      <c r="G375" s="21">
        <f t="shared" si="125"/>
        <v>0</v>
      </c>
      <c r="H375" s="21">
        <f t="shared" si="125"/>
        <v>0</v>
      </c>
    </row>
    <row r="376" spans="1:8">
      <c r="A376" s="86" t="s">
        <v>21</v>
      </c>
      <c r="B376" s="86" t="s">
        <v>44</v>
      </c>
      <c r="C376" s="88" t="s">
        <v>399</v>
      </c>
      <c r="D376" s="86">
        <v>610</v>
      </c>
      <c r="E376" s="66" t="s">
        <v>115</v>
      </c>
      <c r="F376" s="21">
        <f>24.5+16</f>
        <v>40.5</v>
      </c>
      <c r="G376" s="21">
        <v>0</v>
      </c>
      <c r="H376" s="21">
        <v>0</v>
      </c>
    </row>
    <row r="377" spans="1:8" ht="31.5">
      <c r="A377" s="86" t="s">
        <v>21</v>
      </c>
      <c r="B377" s="86" t="s">
        <v>44</v>
      </c>
      <c r="C377" s="88">
        <v>1210300000</v>
      </c>
      <c r="D377" s="86"/>
      <c r="E377" s="87" t="s">
        <v>234</v>
      </c>
      <c r="F377" s="21">
        <f>F378+F381</f>
        <v>119.7</v>
      </c>
      <c r="G377" s="21">
        <f t="shared" ref="G377:H377" si="126">G378+G381</f>
        <v>80</v>
      </c>
      <c r="H377" s="21">
        <f t="shared" si="126"/>
        <v>80</v>
      </c>
    </row>
    <row r="378" spans="1:8">
      <c r="A378" s="86" t="s">
        <v>21</v>
      </c>
      <c r="B378" s="86" t="s">
        <v>44</v>
      </c>
      <c r="C378" s="86">
        <v>1210320010</v>
      </c>
      <c r="D378" s="86"/>
      <c r="E378" s="87" t="s">
        <v>282</v>
      </c>
      <c r="F378" s="21">
        <f>F379</f>
        <v>80</v>
      </c>
      <c r="G378" s="21">
        <f t="shared" ref="G378:H379" si="127">G379</f>
        <v>80</v>
      </c>
      <c r="H378" s="21">
        <f t="shared" si="127"/>
        <v>80</v>
      </c>
    </row>
    <row r="379" spans="1:8" ht="31.5">
      <c r="A379" s="86" t="s">
        <v>21</v>
      </c>
      <c r="B379" s="86" t="s">
        <v>44</v>
      </c>
      <c r="C379" s="86">
        <v>1210320010</v>
      </c>
      <c r="D379" s="88" t="s">
        <v>104</v>
      </c>
      <c r="E379" s="87" t="s">
        <v>105</v>
      </c>
      <c r="F379" s="21">
        <f>F380</f>
        <v>80</v>
      </c>
      <c r="G379" s="21">
        <f t="shared" si="127"/>
        <v>80</v>
      </c>
      <c r="H379" s="21">
        <f t="shared" si="127"/>
        <v>80</v>
      </c>
    </row>
    <row r="380" spans="1:8">
      <c r="A380" s="86" t="s">
        <v>21</v>
      </c>
      <c r="B380" s="86" t="s">
        <v>44</v>
      </c>
      <c r="C380" s="86">
        <v>1210320010</v>
      </c>
      <c r="D380" s="86">
        <v>610</v>
      </c>
      <c r="E380" s="87" t="s">
        <v>115</v>
      </c>
      <c r="F380" s="21">
        <v>80</v>
      </c>
      <c r="G380" s="21">
        <v>80</v>
      </c>
      <c r="H380" s="21">
        <v>80</v>
      </c>
    </row>
    <row r="381" spans="1:8" ht="31.5">
      <c r="A381" s="128" t="s">
        <v>21</v>
      </c>
      <c r="B381" s="128" t="s">
        <v>44</v>
      </c>
      <c r="C381" s="128">
        <v>1210320030</v>
      </c>
      <c r="D381" s="128"/>
      <c r="E381" s="129" t="s">
        <v>476</v>
      </c>
      <c r="F381" s="21">
        <f>F382</f>
        <v>39.700000000000003</v>
      </c>
      <c r="G381" s="21">
        <f t="shared" ref="G381:H382" si="128">G382</f>
        <v>0</v>
      </c>
      <c r="H381" s="21">
        <f t="shared" si="128"/>
        <v>0</v>
      </c>
    </row>
    <row r="382" spans="1:8" ht="31.5">
      <c r="A382" s="128" t="s">
        <v>21</v>
      </c>
      <c r="B382" s="128" t="s">
        <v>44</v>
      </c>
      <c r="C382" s="128">
        <v>1210320030</v>
      </c>
      <c r="D382" s="130" t="s">
        <v>104</v>
      </c>
      <c r="E382" s="129" t="s">
        <v>105</v>
      </c>
      <c r="F382" s="21">
        <f>F383</f>
        <v>39.700000000000003</v>
      </c>
      <c r="G382" s="21">
        <f t="shared" si="128"/>
        <v>0</v>
      </c>
      <c r="H382" s="21">
        <f t="shared" si="128"/>
        <v>0</v>
      </c>
    </row>
    <row r="383" spans="1:8">
      <c r="A383" s="128" t="s">
        <v>21</v>
      </c>
      <c r="B383" s="128" t="s">
        <v>44</v>
      </c>
      <c r="C383" s="128">
        <v>1210320030</v>
      </c>
      <c r="D383" s="128">
        <v>610</v>
      </c>
      <c r="E383" s="129" t="s">
        <v>115</v>
      </c>
      <c r="F383" s="21">
        <v>39.700000000000003</v>
      </c>
      <c r="G383" s="21">
        <v>0</v>
      </c>
      <c r="H383" s="21">
        <v>0</v>
      </c>
    </row>
    <row r="384" spans="1:8" ht="31.5">
      <c r="A384" s="86" t="s">
        <v>21</v>
      </c>
      <c r="B384" s="86" t="s">
        <v>44</v>
      </c>
      <c r="C384" s="88">
        <v>1220000000</v>
      </c>
      <c r="D384" s="86"/>
      <c r="E384" s="87" t="s">
        <v>162</v>
      </c>
      <c r="F384" s="21">
        <f>F385+F403+F395+F399</f>
        <v>27662.6</v>
      </c>
      <c r="G384" s="21">
        <f t="shared" ref="G384:H384" si="129">G385+G403+G395+G399</f>
        <v>18381</v>
      </c>
      <c r="H384" s="21">
        <f t="shared" si="129"/>
        <v>19252.400000000001</v>
      </c>
    </row>
    <row r="385" spans="1:8" ht="32.25" customHeight="1">
      <c r="A385" s="86" t="s">
        <v>21</v>
      </c>
      <c r="B385" s="86" t="s">
        <v>44</v>
      </c>
      <c r="C385" s="86">
        <v>1220100000</v>
      </c>
      <c r="D385" s="86"/>
      <c r="E385" s="87" t="s">
        <v>235</v>
      </c>
      <c r="F385" s="21">
        <f>F389+F386+F392</f>
        <v>25516</v>
      </c>
      <c r="G385" s="21">
        <f t="shared" ref="G385:H385" si="130">G389+G386+G392</f>
        <v>18381</v>
      </c>
      <c r="H385" s="21">
        <f t="shared" si="130"/>
        <v>18381</v>
      </c>
    </row>
    <row r="386" spans="1:8" ht="47.25">
      <c r="A386" s="86" t="s">
        <v>21</v>
      </c>
      <c r="B386" s="86" t="s">
        <v>44</v>
      </c>
      <c r="C386" s="86">
        <v>1220110680</v>
      </c>
      <c r="D386" s="86"/>
      <c r="E386" s="73" t="s">
        <v>398</v>
      </c>
      <c r="F386" s="21">
        <f>F387</f>
        <v>7576.8</v>
      </c>
      <c r="G386" s="21">
        <f t="shared" ref="G386:H387" si="131">G387</f>
        <v>0</v>
      </c>
      <c r="H386" s="21">
        <f t="shared" si="131"/>
        <v>0</v>
      </c>
    </row>
    <row r="387" spans="1:8" ht="31.5">
      <c r="A387" s="86" t="s">
        <v>21</v>
      </c>
      <c r="B387" s="86" t="s">
        <v>44</v>
      </c>
      <c r="C387" s="86">
        <v>1220110680</v>
      </c>
      <c r="D387" s="88" t="s">
        <v>104</v>
      </c>
      <c r="E387" s="66" t="s">
        <v>105</v>
      </c>
      <c r="F387" s="21">
        <f>F388</f>
        <v>7576.8</v>
      </c>
      <c r="G387" s="21">
        <f t="shared" si="131"/>
        <v>0</v>
      </c>
      <c r="H387" s="21">
        <f t="shared" si="131"/>
        <v>0</v>
      </c>
    </row>
    <row r="388" spans="1:8">
      <c r="A388" s="86" t="s">
        <v>21</v>
      </c>
      <c r="B388" s="86" t="s">
        <v>44</v>
      </c>
      <c r="C388" s="86">
        <v>1220110680</v>
      </c>
      <c r="D388" s="86">
        <v>610</v>
      </c>
      <c r="E388" s="66" t="s">
        <v>115</v>
      </c>
      <c r="F388" s="21">
        <f>4541.3+2512+523.5</f>
        <v>7576.8</v>
      </c>
      <c r="G388" s="21">
        <v>0</v>
      </c>
      <c r="H388" s="21">
        <v>0</v>
      </c>
    </row>
    <row r="389" spans="1:8" ht="31.5">
      <c r="A389" s="86" t="s">
        <v>21</v>
      </c>
      <c r="B389" s="86" t="s">
        <v>44</v>
      </c>
      <c r="C389" s="86">
        <v>1220120010</v>
      </c>
      <c r="D389" s="86"/>
      <c r="E389" s="87" t="s">
        <v>135</v>
      </c>
      <c r="F389" s="21">
        <f>F390</f>
        <v>17863.5</v>
      </c>
      <c r="G389" s="21">
        <f t="shared" ref="G389:H390" si="132">G390</f>
        <v>18381</v>
      </c>
      <c r="H389" s="21">
        <f t="shared" si="132"/>
        <v>18381</v>
      </c>
    </row>
    <row r="390" spans="1:8" ht="31.5">
      <c r="A390" s="86" t="s">
        <v>21</v>
      </c>
      <c r="B390" s="86" t="s">
        <v>44</v>
      </c>
      <c r="C390" s="86">
        <v>1220120010</v>
      </c>
      <c r="D390" s="88" t="s">
        <v>104</v>
      </c>
      <c r="E390" s="87" t="s">
        <v>105</v>
      </c>
      <c r="F390" s="21">
        <f>F391</f>
        <v>17863.5</v>
      </c>
      <c r="G390" s="21">
        <f t="shared" si="132"/>
        <v>18381</v>
      </c>
      <c r="H390" s="21">
        <f t="shared" si="132"/>
        <v>18381</v>
      </c>
    </row>
    <row r="391" spans="1:8">
      <c r="A391" s="86" t="s">
        <v>21</v>
      </c>
      <c r="B391" s="86" t="s">
        <v>44</v>
      </c>
      <c r="C391" s="86">
        <v>1220120010</v>
      </c>
      <c r="D391" s="86">
        <v>610</v>
      </c>
      <c r="E391" s="87" t="s">
        <v>115</v>
      </c>
      <c r="F391" s="21">
        <f>18381-45.4-25.1-447</f>
        <v>17863.5</v>
      </c>
      <c r="G391" s="21">
        <v>18381</v>
      </c>
      <c r="H391" s="21">
        <v>18381</v>
      </c>
    </row>
    <row r="392" spans="1:8" ht="47.25">
      <c r="A392" s="86" t="s">
        <v>21</v>
      </c>
      <c r="B392" s="86" t="s">
        <v>44</v>
      </c>
      <c r="C392" s="86" t="s">
        <v>401</v>
      </c>
      <c r="D392" s="86"/>
      <c r="E392" s="73" t="s">
        <v>400</v>
      </c>
      <c r="F392" s="21">
        <f>F393</f>
        <v>75.7</v>
      </c>
      <c r="G392" s="21">
        <f t="shared" ref="G392:H393" si="133">G393</f>
        <v>0</v>
      </c>
      <c r="H392" s="21">
        <f t="shared" si="133"/>
        <v>0</v>
      </c>
    </row>
    <row r="393" spans="1:8" ht="31.5">
      <c r="A393" s="86" t="s">
        <v>21</v>
      </c>
      <c r="B393" s="86" t="s">
        <v>44</v>
      </c>
      <c r="C393" s="86" t="s">
        <v>401</v>
      </c>
      <c r="D393" s="88" t="s">
        <v>104</v>
      </c>
      <c r="E393" s="66" t="s">
        <v>105</v>
      </c>
      <c r="F393" s="21">
        <f>F394</f>
        <v>75.7</v>
      </c>
      <c r="G393" s="21">
        <f t="shared" si="133"/>
        <v>0</v>
      </c>
      <c r="H393" s="21">
        <f t="shared" si="133"/>
        <v>0</v>
      </c>
    </row>
    <row r="394" spans="1:8">
      <c r="A394" s="86" t="s">
        <v>21</v>
      </c>
      <c r="B394" s="86" t="s">
        <v>44</v>
      </c>
      <c r="C394" s="86" t="s">
        <v>401</v>
      </c>
      <c r="D394" s="86">
        <v>610</v>
      </c>
      <c r="E394" s="66" t="s">
        <v>115</v>
      </c>
      <c r="F394" s="21">
        <f>45.4+30.3</f>
        <v>75.7</v>
      </c>
      <c r="G394" s="21">
        <v>0</v>
      </c>
      <c r="H394" s="21">
        <v>0</v>
      </c>
    </row>
    <row r="395" spans="1:8" ht="63">
      <c r="A395" s="86" t="s">
        <v>21</v>
      </c>
      <c r="B395" s="86" t="s">
        <v>44</v>
      </c>
      <c r="C395" s="86">
        <v>1220200000</v>
      </c>
      <c r="D395" s="86"/>
      <c r="E395" s="66" t="s">
        <v>349</v>
      </c>
      <c r="F395" s="21">
        <f>F396</f>
        <v>406.1</v>
      </c>
      <c r="G395" s="21">
        <f t="shared" ref="G395:H397" si="134">G396</f>
        <v>0</v>
      </c>
      <c r="H395" s="21">
        <f t="shared" si="134"/>
        <v>0</v>
      </c>
    </row>
    <row r="396" spans="1:8" ht="18.75" customHeight="1">
      <c r="A396" s="86" t="s">
        <v>21</v>
      </c>
      <c r="B396" s="86" t="s">
        <v>44</v>
      </c>
      <c r="C396" s="86">
        <v>1220220020</v>
      </c>
      <c r="D396" s="86"/>
      <c r="E396" s="66" t="s">
        <v>350</v>
      </c>
      <c r="F396" s="21">
        <f>F397</f>
        <v>406.1</v>
      </c>
      <c r="G396" s="21">
        <f t="shared" si="134"/>
        <v>0</v>
      </c>
      <c r="H396" s="21">
        <f t="shared" si="134"/>
        <v>0</v>
      </c>
    </row>
    <row r="397" spans="1:8" ht="31.5">
      <c r="A397" s="86" t="s">
        <v>21</v>
      </c>
      <c r="B397" s="86" t="s">
        <v>44</v>
      </c>
      <c r="C397" s="86">
        <v>1220220020</v>
      </c>
      <c r="D397" s="88" t="s">
        <v>104</v>
      </c>
      <c r="E397" s="66" t="s">
        <v>105</v>
      </c>
      <c r="F397" s="21">
        <f>F398</f>
        <v>406.1</v>
      </c>
      <c r="G397" s="21">
        <f t="shared" si="134"/>
        <v>0</v>
      </c>
      <c r="H397" s="21">
        <f t="shared" si="134"/>
        <v>0</v>
      </c>
    </row>
    <row r="398" spans="1:8">
      <c r="A398" s="86" t="s">
        <v>21</v>
      </c>
      <c r="B398" s="86" t="s">
        <v>44</v>
      </c>
      <c r="C398" s="86">
        <v>1220220020</v>
      </c>
      <c r="D398" s="86">
        <v>610</v>
      </c>
      <c r="E398" s="66" t="s">
        <v>115</v>
      </c>
      <c r="F398" s="21">
        <v>406.1</v>
      </c>
      <c r="G398" s="21">
        <v>0</v>
      </c>
      <c r="H398" s="21">
        <v>0</v>
      </c>
    </row>
    <row r="399" spans="1:8" ht="47.25">
      <c r="A399" s="86" t="s">
        <v>21</v>
      </c>
      <c r="B399" s="86" t="s">
        <v>44</v>
      </c>
      <c r="C399" s="86">
        <v>1220300000</v>
      </c>
      <c r="D399" s="86"/>
      <c r="E399" s="66" t="s">
        <v>381</v>
      </c>
      <c r="F399" s="21">
        <f>F400</f>
        <v>379.40000000000003</v>
      </c>
      <c r="G399" s="21">
        <f t="shared" ref="G399:H401" si="135">G400</f>
        <v>0</v>
      </c>
      <c r="H399" s="21">
        <f t="shared" si="135"/>
        <v>0</v>
      </c>
    </row>
    <row r="400" spans="1:8" ht="30" customHeight="1">
      <c r="A400" s="86" t="s">
        <v>21</v>
      </c>
      <c r="B400" s="86" t="s">
        <v>44</v>
      </c>
      <c r="C400" s="86" t="s">
        <v>382</v>
      </c>
      <c r="D400" s="86"/>
      <c r="E400" s="66" t="s">
        <v>403</v>
      </c>
      <c r="F400" s="21">
        <f>F401</f>
        <v>379.40000000000003</v>
      </c>
      <c r="G400" s="21">
        <f t="shared" si="135"/>
        <v>0</v>
      </c>
      <c r="H400" s="21">
        <f t="shared" si="135"/>
        <v>0</v>
      </c>
    </row>
    <row r="401" spans="1:8" ht="31.5">
      <c r="A401" s="86" t="s">
        <v>21</v>
      </c>
      <c r="B401" s="86" t="s">
        <v>44</v>
      </c>
      <c r="C401" s="86" t="s">
        <v>382</v>
      </c>
      <c r="D401" s="88" t="s">
        <v>104</v>
      </c>
      <c r="E401" s="66" t="s">
        <v>105</v>
      </c>
      <c r="F401" s="21">
        <f>F402</f>
        <v>379.40000000000003</v>
      </c>
      <c r="G401" s="21">
        <f t="shared" si="135"/>
        <v>0</v>
      </c>
      <c r="H401" s="21">
        <f t="shared" si="135"/>
        <v>0</v>
      </c>
    </row>
    <row r="402" spans="1:8">
      <c r="A402" s="86" t="s">
        <v>21</v>
      </c>
      <c r="B402" s="86" t="s">
        <v>44</v>
      </c>
      <c r="C402" s="86" t="s">
        <v>382</v>
      </c>
      <c r="D402" s="86">
        <v>610</v>
      </c>
      <c r="E402" s="66" t="s">
        <v>115</v>
      </c>
      <c r="F402" s="21">
        <f>22.8+356.6</f>
        <v>379.40000000000003</v>
      </c>
      <c r="G402" s="21">
        <v>0</v>
      </c>
      <c r="H402" s="21">
        <v>0</v>
      </c>
    </row>
    <row r="403" spans="1:8" ht="31.5">
      <c r="A403" s="86" t="s">
        <v>21</v>
      </c>
      <c r="B403" s="86" t="s">
        <v>44</v>
      </c>
      <c r="C403" s="86">
        <v>1220500000</v>
      </c>
      <c r="D403" s="86"/>
      <c r="E403" s="87" t="s">
        <v>236</v>
      </c>
      <c r="F403" s="21">
        <f>F404</f>
        <v>1361.1000000000001</v>
      </c>
      <c r="G403" s="21">
        <f t="shared" ref="G403:H405" si="136">G404</f>
        <v>0</v>
      </c>
      <c r="H403" s="21">
        <f t="shared" si="136"/>
        <v>871.4</v>
      </c>
    </row>
    <row r="404" spans="1:8">
      <c r="A404" s="86" t="s">
        <v>21</v>
      </c>
      <c r="B404" s="86" t="s">
        <v>44</v>
      </c>
      <c r="C404" s="86">
        <v>1220520320</v>
      </c>
      <c r="D404" s="86"/>
      <c r="E404" s="87" t="s">
        <v>163</v>
      </c>
      <c r="F404" s="21">
        <f>F405</f>
        <v>1361.1000000000001</v>
      </c>
      <c r="G404" s="21">
        <f t="shared" si="136"/>
        <v>0</v>
      </c>
      <c r="H404" s="21">
        <f t="shared" si="136"/>
        <v>871.4</v>
      </c>
    </row>
    <row r="405" spans="1:8" ht="31.5">
      <c r="A405" s="86" t="s">
        <v>21</v>
      </c>
      <c r="B405" s="86" t="s">
        <v>44</v>
      </c>
      <c r="C405" s="86">
        <v>1220520320</v>
      </c>
      <c r="D405" s="88" t="s">
        <v>104</v>
      </c>
      <c r="E405" s="87" t="s">
        <v>105</v>
      </c>
      <c r="F405" s="21">
        <f>F406</f>
        <v>1361.1000000000001</v>
      </c>
      <c r="G405" s="21">
        <f t="shared" si="136"/>
        <v>0</v>
      </c>
      <c r="H405" s="21">
        <f t="shared" si="136"/>
        <v>871.4</v>
      </c>
    </row>
    <row r="406" spans="1:8">
      <c r="A406" s="86" t="s">
        <v>21</v>
      </c>
      <c r="B406" s="86" t="s">
        <v>44</v>
      </c>
      <c r="C406" s="86">
        <v>1220520320</v>
      </c>
      <c r="D406" s="86">
        <v>610</v>
      </c>
      <c r="E406" s="87" t="s">
        <v>115</v>
      </c>
      <c r="F406" s="21">
        <f>871.4+100+150+239.7</f>
        <v>1361.1000000000001</v>
      </c>
      <c r="G406" s="21">
        <f>871.4-871.4</f>
        <v>0</v>
      </c>
      <c r="H406" s="21">
        <v>871.4</v>
      </c>
    </row>
    <row r="407" spans="1:8">
      <c r="A407" s="86" t="s">
        <v>21</v>
      </c>
      <c r="B407" s="86" t="s">
        <v>44</v>
      </c>
      <c r="C407" s="86">
        <v>9900000000</v>
      </c>
      <c r="D407" s="86"/>
      <c r="E407" s="66" t="s">
        <v>116</v>
      </c>
      <c r="F407" s="21">
        <f>F408</f>
        <v>242</v>
      </c>
      <c r="G407" s="21">
        <f t="shared" ref="G407:H410" si="137">G408</f>
        <v>0</v>
      </c>
      <c r="H407" s="21">
        <f t="shared" si="137"/>
        <v>0</v>
      </c>
    </row>
    <row r="408" spans="1:8" ht="47.25">
      <c r="A408" s="86" t="s">
        <v>21</v>
      </c>
      <c r="B408" s="86" t="s">
        <v>44</v>
      </c>
      <c r="C408" s="86">
        <v>9920000000</v>
      </c>
      <c r="D408" s="86"/>
      <c r="E408" s="66" t="s">
        <v>408</v>
      </c>
      <c r="F408" s="21">
        <f>F409</f>
        <v>242</v>
      </c>
      <c r="G408" s="21">
        <f t="shared" si="137"/>
        <v>0</v>
      </c>
      <c r="H408" s="21">
        <f t="shared" si="137"/>
        <v>0</v>
      </c>
    </row>
    <row r="409" spans="1:8" ht="47.25">
      <c r="A409" s="86" t="s">
        <v>21</v>
      </c>
      <c r="B409" s="86" t="s">
        <v>44</v>
      </c>
      <c r="C409" s="86">
        <v>9920010920</v>
      </c>
      <c r="D409" s="86"/>
      <c r="E409" s="66" t="s">
        <v>409</v>
      </c>
      <c r="F409" s="21">
        <f>F410</f>
        <v>242</v>
      </c>
      <c r="G409" s="21">
        <f t="shared" si="137"/>
        <v>0</v>
      </c>
      <c r="H409" s="21">
        <f t="shared" si="137"/>
        <v>0</v>
      </c>
    </row>
    <row r="410" spans="1:8" ht="31.5">
      <c r="A410" s="86" t="s">
        <v>21</v>
      </c>
      <c r="B410" s="86" t="s">
        <v>44</v>
      </c>
      <c r="C410" s="86">
        <v>9920010920</v>
      </c>
      <c r="D410" s="88" t="s">
        <v>104</v>
      </c>
      <c r="E410" s="66" t="s">
        <v>105</v>
      </c>
      <c r="F410" s="21">
        <f>F411</f>
        <v>242</v>
      </c>
      <c r="G410" s="21">
        <f t="shared" si="137"/>
        <v>0</v>
      </c>
      <c r="H410" s="21">
        <f t="shared" si="137"/>
        <v>0</v>
      </c>
    </row>
    <row r="411" spans="1:8">
      <c r="A411" s="86" t="s">
        <v>21</v>
      </c>
      <c r="B411" s="86" t="s">
        <v>44</v>
      </c>
      <c r="C411" s="86">
        <v>9920010920</v>
      </c>
      <c r="D411" s="86">
        <v>610</v>
      </c>
      <c r="E411" s="66" t="s">
        <v>115</v>
      </c>
      <c r="F411" s="21">
        <v>242</v>
      </c>
      <c r="G411" s="21">
        <v>0</v>
      </c>
      <c r="H411" s="21">
        <v>0</v>
      </c>
    </row>
    <row r="412" spans="1:8">
      <c r="A412" s="86" t="s">
        <v>21</v>
      </c>
      <c r="B412" s="86" t="s">
        <v>41</v>
      </c>
      <c r="C412" s="86" t="s">
        <v>69</v>
      </c>
      <c r="D412" s="86" t="s">
        <v>69</v>
      </c>
      <c r="E412" s="42" t="s">
        <v>33</v>
      </c>
      <c r="F412" s="21">
        <f>F413+F422</f>
        <v>10180.200000000001</v>
      </c>
      <c r="G412" s="21">
        <f t="shared" ref="G412:H412" si="138">G413+G422</f>
        <v>3887.8999999999996</v>
      </c>
      <c r="H412" s="21">
        <f t="shared" si="138"/>
        <v>1906</v>
      </c>
    </row>
    <row r="413" spans="1:8">
      <c r="A413" s="86" t="s">
        <v>21</v>
      </c>
      <c r="B413" s="86" t="s">
        <v>56</v>
      </c>
      <c r="C413" s="86" t="s">
        <v>69</v>
      </c>
      <c r="D413" s="86" t="s">
        <v>69</v>
      </c>
      <c r="E413" s="87" t="s">
        <v>34</v>
      </c>
      <c r="F413" s="21">
        <f>F414</f>
        <v>1114.1999999999998</v>
      </c>
      <c r="G413" s="21">
        <f t="shared" ref="G413:H416" si="139">G414</f>
        <v>1639.8999999999999</v>
      </c>
      <c r="H413" s="21">
        <f t="shared" si="139"/>
        <v>1639.8999999999999</v>
      </c>
    </row>
    <row r="414" spans="1:8" ht="47.25">
      <c r="A414" s="86" t="s">
        <v>21</v>
      </c>
      <c r="B414" s="86" t="s">
        <v>56</v>
      </c>
      <c r="C414" s="88">
        <v>1200000000</v>
      </c>
      <c r="D414" s="86"/>
      <c r="E414" s="87" t="s">
        <v>216</v>
      </c>
      <c r="F414" s="21">
        <f>F415</f>
        <v>1114.1999999999998</v>
      </c>
      <c r="G414" s="21">
        <f t="shared" si="139"/>
        <v>1639.8999999999999</v>
      </c>
      <c r="H414" s="21">
        <f t="shared" si="139"/>
        <v>1639.8999999999999</v>
      </c>
    </row>
    <row r="415" spans="1:8" ht="31.5">
      <c r="A415" s="86" t="s">
        <v>21</v>
      </c>
      <c r="B415" s="86" t="s">
        <v>56</v>
      </c>
      <c r="C415" s="88">
        <v>1240000000</v>
      </c>
      <c r="D415" s="86"/>
      <c r="E415" s="87" t="s">
        <v>150</v>
      </c>
      <c r="F415" s="21">
        <f>F416</f>
        <v>1114.1999999999998</v>
      </c>
      <c r="G415" s="21">
        <f t="shared" si="139"/>
        <v>1639.8999999999999</v>
      </c>
      <c r="H415" s="21">
        <f t="shared" si="139"/>
        <v>1639.8999999999999</v>
      </c>
    </row>
    <row r="416" spans="1:8">
      <c r="A416" s="86" t="s">
        <v>21</v>
      </c>
      <c r="B416" s="86" t="s">
        <v>56</v>
      </c>
      <c r="C416" s="86">
        <v>1240400000</v>
      </c>
      <c r="D416" s="86"/>
      <c r="E416" s="87" t="s">
        <v>237</v>
      </c>
      <c r="F416" s="21">
        <f>F417</f>
        <v>1114.1999999999998</v>
      </c>
      <c r="G416" s="21">
        <f t="shared" si="139"/>
        <v>1639.8999999999999</v>
      </c>
      <c r="H416" s="21">
        <f t="shared" si="139"/>
        <v>1639.8999999999999</v>
      </c>
    </row>
    <row r="417" spans="1:8" ht="47.25">
      <c r="A417" s="86" t="s">
        <v>21</v>
      </c>
      <c r="B417" s="86" t="s">
        <v>56</v>
      </c>
      <c r="C417" s="86">
        <v>1240420390</v>
      </c>
      <c r="D417" s="86"/>
      <c r="E417" s="87" t="s">
        <v>70</v>
      </c>
      <c r="F417" s="21">
        <f>F418+F420</f>
        <v>1114.1999999999998</v>
      </c>
      <c r="G417" s="21">
        <f t="shared" ref="G417:H417" si="140">G418+G420</f>
        <v>1639.8999999999999</v>
      </c>
      <c r="H417" s="21">
        <f t="shared" si="140"/>
        <v>1639.8999999999999</v>
      </c>
    </row>
    <row r="418" spans="1:8" ht="31.5">
      <c r="A418" s="86" t="s">
        <v>21</v>
      </c>
      <c r="B418" s="86" t="s">
        <v>56</v>
      </c>
      <c r="C418" s="86">
        <v>1240420390</v>
      </c>
      <c r="D418" s="88" t="s">
        <v>72</v>
      </c>
      <c r="E418" s="87" t="s">
        <v>102</v>
      </c>
      <c r="F418" s="21">
        <f>F419</f>
        <v>0</v>
      </c>
      <c r="G418" s="21">
        <f t="shared" ref="G418:H418" si="141">G419</f>
        <v>47.8</v>
      </c>
      <c r="H418" s="21">
        <f t="shared" si="141"/>
        <v>47.8</v>
      </c>
    </row>
    <row r="419" spans="1:8" ht="31.5">
      <c r="A419" s="86" t="s">
        <v>21</v>
      </c>
      <c r="B419" s="86" t="s">
        <v>56</v>
      </c>
      <c r="C419" s="86">
        <v>1240420390</v>
      </c>
      <c r="D419" s="86">
        <v>240</v>
      </c>
      <c r="E419" s="87" t="s">
        <v>315</v>
      </c>
      <c r="F419" s="21">
        <f>47.8-47.8</f>
        <v>0</v>
      </c>
      <c r="G419" s="21">
        <v>47.8</v>
      </c>
      <c r="H419" s="21">
        <v>47.8</v>
      </c>
    </row>
    <row r="420" spans="1:8">
      <c r="A420" s="86" t="s">
        <v>21</v>
      </c>
      <c r="B420" s="86" t="s">
        <v>56</v>
      </c>
      <c r="C420" s="86">
        <v>1240420390</v>
      </c>
      <c r="D420" s="88" t="s">
        <v>76</v>
      </c>
      <c r="E420" s="87" t="s">
        <v>77</v>
      </c>
      <c r="F420" s="21">
        <f>F421</f>
        <v>1114.1999999999998</v>
      </c>
      <c r="G420" s="21">
        <f t="shared" ref="G420:H420" si="142">G421</f>
        <v>1592.1</v>
      </c>
      <c r="H420" s="21">
        <f t="shared" si="142"/>
        <v>1592.1</v>
      </c>
    </row>
    <row r="421" spans="1:8">
      <c r="A421" s="86" t="s">
        <v>21</v>
      </c>
      <c r="B421" s="86" t="s">
        <v>56</v>
      </c>
      <c r="C421" s="86">
        <v>1240420390</v>
      </c>
      <c r="D421" s="88" t="s">
        <v>164</v>
      </c>
      <c r="E421" s="87" t="s">
        <v>165</v>
      </c>
      <c r="F421" s="21">
        <f>1592.1-477.9</f>
        <v>1114.1999999999998</v>
      </c>
      <c r="G421" s="21">
        <v>1592.1</v>
      </c>
      <c r="H421" s="21">
        <v>1592.1</v>
      </c>
    </row>
    <row r="422" spans="1:8">
      <c r="A422" s="86" t="s">
        <v>21</v>
      </c>
      <c r="B422" s="86" t="s">
        <v>42</v>
      </c>
      <c r="C422" s="86" t="s">
        <v>69</v>
      </c>
      <c r="D422" s="86" t="s">
        <v>69</v>
      </c>
      <c r="E422" s="87" t="s">
        <v>36</v>
      </c>
      <c r="F422" s="21">
        <f>F423</f>
        <v>9066</v>
      </c>
      <c r="G422" s="21">
        <f>G423</f>
        <v>2248</v>
      </c>
      <c r="H422" s="21">
        <f t="shared" ref="G422:H425" si="143">H423</f>
        <v>266.10000000000002</v>
      </c>
    </row>
    <row r="423" spans="1:8" ht="47.25">
      <c r="A423" s="86" t="s">
        <v>21</v>
      </c>
      <c r="B423" s="86" t="s">
        <v>42</v>
      </c>
      <c r="C423" s="88">
        <v>1200000000</v>
      </c>
      <c r="D423" s="86"/>
      <c r="E423" s="87" t="s">
        <v>216</v>
      </c>
      <c r="F423" s="21">
        <f>F424</f>
        <v>9066</v>
      </c>
      <c r="G423" s="21">
        <f t="shared" si="143"/>
        <v>2248</v>
      </c>
      <c r="H423" s="21">
        <f t="shared" si="143"/>
        <v>266.10000000000002</v>
      </c>
    </row>
    <row r="424" spans="1:8" ht="31.5">
      <c r="A424" s="86" t="s">
        <v>21</v>
      </c>
      <c r="B424" s="86" t="s">
        <v>42</v>
      </c>
      <c r="C424" s="88">
        <v>1240000000</v>
      </c>
      <c r="D424" s="86"/>
      <c r="E424" s="87" t="s">
        <v>150</v>
      </c>
      <c r="F424" s="21">
        <f>F425+F429+F435</f>
        <v>9066</v>
      </c>
      <c r="G424" s="21">
        <f t="shared" ref="G424:H424" si="144">G425+G429+G435</f>
        <v>2248</v>
      </c>
      <c r="H424" s="21">
        <f t="shared" si="144"/>
        <v>266.10000000000002</v>
      </c>
    </row>
    <row r="425" spans="1:8" ht="31.5">
      <c r="A425" s="86" t="s">
        <v>21</v>
      </c>
      <c r="B425" s="86" t="s">
        <v>42</v>
      </c>
      <c r="C425" s="88">
        <v>1240100000</v>
      </c>
      <c r="D425" s="86"/>
      <c r="E425" s="87" t="s">
        <v>238</v>
      </c>
      <c r="F425" s="21">
        <f>F426</f>
        <v>508</v>
      </c>
      <c r="G425" s="21">
        <f t="shared" si="143"/>
        <v>0</v>
      </c>
      <c r="H425" s="21">
        <f t="shared" si="143"/>
        <v>0</v>
      </c>
    </row>
    <row r="426" spans="1:8" ht="31.5">
      <c r="A426" s="86" t="s">
        <v>21</v>
      </c>
      <c r="B426" s="86" t="s">
        <v>42</v>
      </c>
      <c r="C426" s="88">
        <v>1240120330</v>
      </c>
      <c r="D426" s="86"/>
      <c r="E426" s="87" t="s">
        <v>167</v>
      </c>
      <c r="F426" s="21">
        <f>F427</f>
        <v>508</v>
      </c>
      <c r="G426" s="21">
        <f t="shared" ref="G426:H427" si="145">G427</f>
        <v>0</v>
      </c>
      <c r="H426" s="21">
        <f t="shared" si="145"/>
        <v>0</v>
      </c>
    </row>
    <row r="427" spans="1:8" ht="31.5">
      <c r="A427" s="86" t="s">
        <v>21</v>
      </c>
      <c r="B427" s="86" t="s">
        <v>42</v>
      </c>
      <c r="C427" s="88">
        <v>1240120330</v>
      </c>
      <c r="D427" s="88" t="s">
        <v>104</v>
      </c>
      <c r="E427" s="87" t="s">
        <v>105</v>
      </c>
      <c r="F427" s="21">
        <f>F428</f>
        <v>508</v>
      </c>
      <c r="G427" s="21">
        <f t="shared" si="145"/>
        <v>0</v>
      </c>
      <c r="H427" s="21">
        <f t="shared" si="145"/>
        <v>0</v>
      </c>
    </row>
    <row r="428" spans="1:8" ht="31.5">
      <c r="A428" s="86" t="s">
        <v>21</v>
      </c>
      <c r="B428" s="86" t="s">
        <v>42</v>
      </c>
      <c r="C428" s="88">
        <v>1240120330</v>
      </c>
      <c r="D428" s="86">
        <v>630</v>
      </c>
      <c r="E428" s="87" t="s">
        <v>168</v>
      </c>
      <c r="F428" s="21">
        <f>408+100</f>
        <v>508</v>
      </c>
      <c r="G428" s="21">
        <f>408-408</f>
        <v>0</v>
      </c>
      <c r="H428" s="21">
        <v>0</v>
      </c>
    </row>
    <row r="429" spans="1:8" ht="31.5">
      <c r="A429" s="86" t="s">
        <v>21</v>
      </c>
      <c r="B429" s="86" t="s">
        <v>42</v>
      </c>
      <c r="C429" s="88">
        <v>1240200000</v>
      </c>
      <c r="D429" s="86"/>
      <c r="E429" s="87" t="s">
        <v>169</v>
      </c>
      <c r="F429" s="21">
        <f>F430</f>
        <v>72</v>
      </c>
      <c r="G429" s="21">
        <f t="shared" ref="G429:H429" si="146">G430</f>
        <v>107.1</v>
      </c>
      <c r="H429" s="21">
        <f t="shared" si="146"/>
        <v>107.1</v>
      </c>
    </row>
    <row r="430" spans="1:8" ht="31.5">
      <c r="A430" s="86" t="s">
        <v>21</v>
      </c>
      <c r="B430" s="86" t="s">
        <v>42</v>
      </c>
      <c r="C430" s="88">
        <v>1240220350</v>
      </c>
      <c r="D430" s="86"/>
      <c r="E430" s="87" t="s">
        <v>239</v>
      </c>
      <c r="F430" s="21">
        <f>F431+F433</f>
        <v>72</v>
      </c>
      <c r="G430" s="21">
        <f t="shared" ref="G430:H430" si="147">G431+G433</f>
        <v>107.1</v>
      </c>
      <c r="H430" s="21">
        <f t="shared" si="147"/>
        <v>107.1</v>
      </c>
    </row>
    <row r="431" spans="1:8" ht="31.5">
      <c r="A431" s="86" t="s">
        <v>21</v>
      </c>
      <c r="B431" s="86" t="s">
        <v>42</v>
      </c>
      <c r="C431" s="88">
        <v>1240220350</v>
      </c>
      <c r="D431" s="88" t="s">
        <v>72</v>
      </c>
      <c r="E431" s="87" t="s">
        <v>102</v>
      </c>
      <c r="F431" s="21">
        <f>F432</f>
        <v>0</v>
      </c>
      <c r="G431" s="21">
        <f t="shared" ref="G431:H431" si="148">G432</f>
        <v>3.1</v>
      </c>
      <c r="H431" s="21">
        <f t="shared" si="148"/>
        <v>3.1</v>
      </c>
    </row>
    <row r="432" spans="1:8" ht="31.5">
      <c r="A432" s="86" t="s">
        <v>21</v>
      </c>
      <c r="B432" s="86" t="s">
        <v>42</v>
      </c>
      <c r="C432" s="88">
        <v>1240220350</v>
      </c>
      <c r="D432" s="86">
        <v>240</v>
      </c>
      <c r="E432" s="87" t="s">
        <v>315</v>
      </c>
      <c r="F432" s="21">
        <f>3.1-3.1</f>
        <v>0</v>
      </c>
      <c r="G432" s="21">
        <v>3.1</v>
      </c>
      <c r="H432" s="21">
        <v>3.1</v>
      </c>
    </row>
    <row r="433" spans="1:8">
      <c r="A433" s="86" t="s">
        <v>21</v>
      </c>
      <c r="B433" s="86" t="s">
        <v>42</v>
      </c>
      <c r="C433" s="88">
        <v>1240220350</v>
      </c>
      <c r="D433" s="86" t="s">
        <v>76</v>
      </c>
      <c r="E433" s="87" t="s">
        <v>77</v>
      </c>
      <c r="F433" s="21">
        <f>F434</f>
        <v>72</v>
      </c>
      <c r="G433" s="21">
        <f t="shared" ref="G433:H433" si="149">G434</f>
        <v>104</v>
      </c>
      <c r="H433" s="21">
        <f t="shared" si="149"/>
        <v>104</v>
      </c>
    </row>
    <row r="434" spans="1:8">
      <c r="A434" s="86" t="s">
        <v>21</v>
      </c>
      <c r="B434" s="86" t="s">
        <v>42</v>
      </c>
      <c r="C434" s="88">
        <v>1240220350</v>
      </c>
      <c r="D434" s="86" t="s">
        <v>164</v>
      </c>
      <c r="E434" s="87" t="s">
        <v>165</v>
      </c>
      <c r="F434" s="21">
        <f>104-32</f>
        <v>72</v>
      </c>
      <c r="G434" s="21">
        <v>104</v>
      </c>
      <c r="H434" s="21">
        <v>104</v>
      </c>
    </row>
    <row r="435" spans="1:8">
      <c r="A435" s="86" t="s">
        <v>21</v>
      </c>
      <c r="B435" s="86" t="s">
        <v>42</v>
      </c>
      <c r="C435" s="86">
        <v>1240400000</v>
      </c>
      <c r="D435" s="86"/>
      <c r="E435" s="87" t="s">
        <v>237</v>
      </c>
      <c r="F435" s="21">
        <f>F436+F439</f>
        <v>8486</v>
      </c>
      <c r="G435" s="21">
        <f t="shared" ref="G435:H435" si="150">G436+G439</f>
        <v>2140.9</v>
      </c>
      <c r="H435" s="21">
        <f t="shared" si="150"/>
        <v>159</v>
      </c>
    </row>
    <row r="436" spans="1:8" ht="31.5">
      <c r="A436" s="86" t="s">
        <v>21</v>
      </c>
      <c r="B436" s="86" t="s">
        <v>42</v>
      </c>
      <c r="C436" s="86">
        <v>1240420380</v>
      </c>
      <c r="D436" s="86"/>
      <c r="E436" s="87" t="s">
        <v>166</v>
      </c>
      <c r="F436" s="21">
        <f>F437</f>
        <v>159</v>
      </c>
      <c r="G436" s="21">
        <f t="shared" ref="G436:H437" si="151">G437</f>
        <v>159</v>
      </c>
      <c r="H436" s="21">
        <f t="shared" si="151"/>
        <v>159</v>
      </c>
    </row>
    <row r="437" spans="1:8">
      <c r="A437" s="86" t="s">
        <v>21</v>
      </c>
      <c r="B437" s="86" t="s">
        <v>42</v>
      </c>
      <c r="C437" s="86">
        <v>1240420380</v>
      </c>
      <c r="D437" s="88" t="s">
        <v>76</v>
      </c>
      <c r="E437" s="87" t="s">
        <v>77</v>
      </c>
      <c r="F437" s="21">
        <f>F438</f>
        <v>159</v>
      </c>
      <c r="G437" s="21">
        <f t="shared" si="151"/>
        <v>159</v>
      </c>
      <c r="H437" s="21">
        <f t="shared" si="151"/>
        <v>159</v>
      </c>
    </row>
    <row r="438" spans="1:8" ht="31.5">
      <c r="A438" s="86" t="s">
        <v>21</v>
      </c>
      <c r="B438" s="86" t="s">
        <v>42</v>
      </c>
      <c r="C438" s="86">
        <v>1240420380</v>
      </c>
      <c r="D438" s="88" t="s">
        <v>112</v>
      </c>
      <c r="E438" s="87" t="s">
        <v>113</v>
      </c>
      <c r="F438" s="21">
        <v>159</v>
      </c>
      <c r="G438" s="21">
        <v>159</v>
      </c>
      <c r="H438" s="21">
        <v>159</v>
      </c>
    </row>
    <row r="439" spans="1:8">
      <c r="A439" s="86" t="s">
        <v>21</v>
      </c>
      <c r="B439" s="86" t="s">
        <v>42</v>
      </c>
      <c r="C439" s="86" t="s">
        <v>284</v>
      </c>
      <c r="D439" s="86"/>
      <c r="E439" s="87" t="s">
        <v>283</v>
      </c>
      <c r="F439" s="21">
        <f t="shared" ref="F439:H440" si="152">F440</f>
        <v>8327</v>
      </c>
      <c r="G439" s="21">
        <f t="shared" si="152"/>
        <v>1981.9</v>
      </c>
      <c r="H439" s="21">
        <f t="shared" si="152"/>
        <v>0</v>
      </c>
    </row>
    <row r="440" spans="1:8">
      <c r="A440" s="86" t="s">
        <v>21</v>
      </c>
      <c r="B440" s="86" t="s">
        <v>42</v>
      </c>
      <c r="C440" s="86" t="s">
        <v>284</v>
      </c>
      <c r="D440" s="1" t="s">
        <v>76</v>
      </c>
      <c r="E440" s="57" t="s">
        <v>77</v>
      </c>
      <c r="F440" s="21">
        <f t="shared" si="152"/>
        <v>8327</v>
      </c>
      <c r="G440" s="21">
        <f t="shared" si="152"/>
        <v>1981.9</v>
      </c>
      <c r="H440" s="21">
        <f t="shared" si="152"/>
        <v>0</v>
      </c>
    </row>
    <row r="441" spans="1:8" ht="31.5">
      <c r="A441" s="86" t="s">
        <v>21</v>
      </c>
      <c r="B441" s="86" t="s">
        <v>42</v>
      </c>
      <c r="C441" s="86" t="s">
        <v>284</v>
      </c>
      <c r="D441" s="1" t="s">
        <v>112</v>
      </c>
      <c r="E441" s="57" t="s">
        <v>113</v>
      </c>
      <c r="F441" s="21">
        <f>1633.9+373.7+6319.4</f>
        <v>8327</v>
      </c>
      <c r="G441" s="21">
        <f>1633.9+348</f>
        <v>1981.9</v>
      </c>
      <c r="H441" s="21">
        <v>0</v>
      </c>
    </row>
    <row r="442" spans="1:8">
      <c r="A442" s="86" t="s">
        <v>21</v>
      </c>
      <c r="B442" s="86" t="s">
        <v>64</v>
      </c>
      <c r="C442" s="86" t="s">
        <v>69</v>
      </c>
      <c r="D442" s="86" t="s">
        <v>69</v>
      </c>
      <c r="E442" s="87" t="s">
        <v>32</v>
      </c>
      <c r="F442" s="21">
        <f>F443</f>
        <v>12275</v>
      </c>
      <c r="G442" s="21">
        <f t="shared" ref="G442:H442" si="153">G443</f>
        <v>13390.1</v>
      </c>
      <c r="H442" s="21">
        <f t="shared" si="153"/>
        <v>10648.9</v>
      </c>
    </row>
    <row r="443" spans="1:8">
      <c r="A443" s="86" t="s">
        <v>21</v>
      </c>
      <c r="B443" s="86" t="s">
        <v>90</v>
      </c>
      <c r="C443" s="86" t="s">
        <v>69</v>
      </c>
      <c r="D443" s="86" t="s">
        <v>69</v>
      </c>
      <c r="E443" s="87" t="s">
        <v>65</v>
      </c>
      <c r="F443" s="21">
        <f>F444</f>
        <v>12275</v>
      </c>
      <c r="G443" s="21">
        <f t="shared" ref="G443:H444" si="154">G444</f>
        <v>13390.1</v>
      </c>
      <c r="H443" s="21">
        <f t="shared" si="154"/>
        <v>10648.9</v>
      </c>
    </row>
    <row r="444" spans="1:8" ht="47.25">
      <c r="A444" s="86" t="s">
        <v>21</v>
      </c>
      <c r="B444" s="86" t="s">
        <v>90</v>
      </c>
      <c r="C444" s="88">
        <v>1200000000</v>
      </c>
      <c r="D444" s="86"/>
      <c r="E444" s="87" t="s">
        <v>216</v>
      </c>
      <c r="F444" s="21">
        <f>F445</f>
        <v>12275</v>
      </c>
      <c r="G444" s="21">
        <f t="shared" si="154"/>
        <v>13390.1</v>
      </c>
      <c r="H444" s="21">
        <f t="shared" si="154"/>
        <v>10648.9</v>
      </c>
    </row>
    <row r="445" spans="1:8">
      <c r="A445" s="86" t="s">
        <v>21</v>
      </c>
      <c r="B445" s="86" t="s">
        <v>90</v>
      </c>
      <c r="C445" s="86">
        <v>1230000000</v>
      </c>
      <c r="D445" s="86"/>
      <c r="E445" s="87" t="s">
        <v>241</v>
      </c>
      <c r="F445" s="21">
        <f>F446+F450+F458+F454</f>
        <v>12275</v>
      </c>
      <c r="G445" s="21">
        <f>G446+G450+G458+G454</f>
        <v>13390.1</v>
      </c>
      <c r="H445" s="21">
        <f>H446+H450+H458+H454</f>
        <v>10648.9</v>
      </c>
    </row>
    <row r="446" spans="1:8" ht="34.5" customHeight="1">
      <c r="A446" s="86" t="s">
        <v>21</v>
      </c>
      <c r="B446" s="86" t="s">
        <v>90</v>
      </c>
      <c r="C446" s="86">
        <v>1230100000</v>
      </c>
      <c r="D446" s="86"/>
      <c r="E446" s="87" t="s">
        <v>242</v>
      </c>
      <c r="F446" s="21">
        <f>F447</f>
        <v>10653.7</v>
      </c>
      <c r="G446" s="21">
        <f t="shared" ref="G446:H446" si="155">G447</f>
        <v>10394</v>
      </c>
      <c r="H446" s="21">
        <f t="shared" si="155"/>
        <v>10394</v>
      </c>
    </row>
    <row r="447" spans="1:8" ht="31.5">
      <c r="A447" s="86" t="s">
        <v>21</v>
      </c>
      <c r="B447" s="2" t="s">
        <v>90</v>
      </c>
      <c r="C447" s="86">
        <v>1230120010</v>
      </c>
      <c r="D447" s="86"/>
      <c r="E447" s="87" t="s">
        <v>135</v>
      </c>
      <c r="F447" s="21">
        <f>F448</f>
        <v>10653.7</v>
      </c>
      <c r="G447" s="21">
        <f t="shared" ref="G447:H448" si="156">G448</f>
        <v>10394</v>
      </c>
      <c r="H447" s="21">
        <f t="shared" si="156"/>
        <v>10394</v>
      </c>
    </row>
    <row r="448" spans="1:8" ht="31.5">
      <c r="A448" s="86" t="s">
        <v>21</v>
      </c>
      <c r="B448" s="2" t="s">
        <v>90</v>
      </c>
      <c r="C448" s="86">
        <v>1230120010</v>
      </c>
      <c r="D448" s="88" t="s">
        <v>104</v>
      </c>
      <c r="E448" s="87" t="s">
        <v>105</v>
      </c>
      <c r="F448" s="21">
        <f>F449</f>
        <v>10653.7</v>
      </c>
      <c r="G448" s="21">
        <f t="shared" si="156"/>
        <v>10394</v>
      </c>
      <c r="H448" s="21">
        <f t="shared" si="156"/>
        <v>10394</v>
      </c>
    </row>
    <row r="449" spans="1:8">
      <c r="A449" s="86" t="s">
        <v>21</v>
      </c>
      <c r="B449" s="86" t="s">
        <v>90</v>
      </c>
      <c r="C449" s="86">
        <v>1230120010</v>
      </c>
      <c r="D449" s="86">
        <v>610</v>
      </c>
      <c r="E449" s="87" t="s">
        <v>115</v>
      </c>
      <c r="F449" s="21">
        <f>10394+58.6+201.1</f>
        <v>10653.7</v>
      </c>
      <c r="G449" s="21">
        <v>10394</v>
      </c>
      <c r="H449" s="21">
        <v>10394</v>
      </c>
    </row>
    <row r="450" spans="1:8" ht="63">
      <c r="A450" s="86" t="s">
        <v>21</v>
      </c>
      <c r="B450" s="86" t="s">
        <v>90</v>
      </c>
      <c r="C450" s="86">
        <v>1230200000</v>
      </c>
      <c r="D450" s="86"/>
      <c r="E450" s="87" t="s">
        <v>243</v>
      </c>
      <c r="F450" s="21">
        <f>F451</f>
        <v>254.9</v>
      </c>
      <c r="G450" s="21">
        <f t="shared" ref="G450:H452" si="157">G451</f>
        <v>0</v>
      </c>
      <c r="H450" s="21">
        <f t="shared" si="157"/>
        <v>254.9</v>
      </c>
    </row>
    <row r="451" spans="1:8">
      <c r="A451" s="86" t="s">
        <v>21</v>
      </c>
      <c r="B451" s="86" t="s">
        <v>90</v>
      </c>
      <c r="C451" s="86">
        <v>1230220040</v>
      </c>
      <c r="D451" s="86"/>
      <c r="E451" s="87" t="s">
        <v>244</v>
      </c>
      <c r="F451" s="21">
        <f>F452</f>
        <v>254.9</v>
      </c>
      <c r="G451" s="21">
        <f t="shared" si="157"/>
        <v>0</v>
      </c>
      <c r="H451" s="21">
        <f t="shared" si="157"/>
        <v>254.9</v>
      </c>
    </row>
    <row r="452" spans="1:8" ht="31.5">
      <c r="A452" s="86" t="s">
        <v>21</v>
      </c>
      <c r="B452" s="86" t="s">
        <v>90</v>
      </c>
      <c r="C452" s="86">
        <v>1230220040</v>
      </c>
      <c r="D452" s="88" t="s">
        <v>104</v>
      </c>
      <c r="E452" s="87" t="s">
        <v>105</v>
      </c>
      <c r="F452" s="21">
        <f>F453</f>
        <v>254.9</v>
      </c>
      <c r="G452" s="21">
        <f t="shared" si="157"/>
        <v>0</v>
      </c>
      <c r="H452" s="21">
        <f t="shared" si="157"/>
        <v>254.9</v>
      </c>
    </row>
    <row r="453" spans="1:8">
      <c r="A453" s="86" t="s">
        <v>21</v>
      </c>
      <c r="B453" s="86" t="s">
        <v>90</v>
      </c>
      <c r="C453" s="86">
        <v>1230220040</v>
      </c>
      <c r="D453" s="86">
        <v>610</v>
      </c>
      <c r="E453" s="87" t="s">
        <v>115</v>
      </c>
      <c r="F453" s="21">
        <v>254.9</v>
      </c>
      <c r="G453" s="21">
        <f>254.9-254.9</f>
        <v>0</v>
      </c>
      <c r="H453" s="21">
        <v>254.9</v>
      </c>
    </row>
    <row r="454" spans="1:8">
      <c r="A454" s="86" t="s">
        <v>21</v>
      </c>
      <c r="B454" s="86" t="s">
        <v>90</v>
      </c>
      <c r="C454" s="86">
        <v>1230500000</v>
      </c>
      <c r="D454" s="86"/>
      <c r="E454" s="66" t="s">
        <v>351</v>
      </c>
      <c r="F454" s="21">
        <f>F455</f>
        <v>0</v>
      </c>
      <c r="G454" s="21">
        <f t="shared" ref="G454:H454" si="158">G455</f>
        <v>2996.1</v>
      </c>
      <c r="H454" s="21">
        <f t="shared" si="158"/>
        <v>0</v>
      </c>
    </row>
    <row r="455" spans="1:8" ht="31.5">
      <c r="A455" s="86" t="s">
        <v>21</v>
      </c>
      <c r="B455" s="86" t="s">
        <v>90</v>
      </c>
      <c r="C455" s="86" t="s">
        <v>386</v>
      </c>
      <c r="D455" s="86"/>
      <c r="E455" s="66" t="s">
        <v>387</v>
      </c>
      <c r="F455" s="21">
        <f>F456</f>
        <v>0</v>
      </c>
      <c r="G455" s="21">
        <f t="shared" ref="G455:H456" si="159">G456</f>
        <v>2996.1</v>
      </c>
      <c r="H455" s="21">
        <f t="shared" si="159"/>
        <v>0</v>
      </c>
    </row>
    <row r="456" spans="1:8" ht="31.5">
      <c r="A456" s="86" t="s">
        <v>21</v>
      </c>
      <c r="B456" s="86" t="s">
        <v>90</v>
      </c>
      <c r="C456" s="86" t="s">
        <v>386</v>
      </c>
      <c r="D456" s="88" t="s">
        <v>75</v>
      </c>
      <c r="E456" s="66" t="s">
        <v>103</v>
      </c>
      <c r="F456" s="21">
        <f>F457</f>
        <v>0</v>
      </c>
      <c r="G456" s="21">
        <f t="shared" si="159"/>
        <v>2996.1</v>
      </c>
      <c r="H456" s="21">
        <f t="shared" si="159"/>
        <v>0</v>
      </c>
    </row>
    <row r="457" spans="1:8">
      <c r="A457" s="86" t="s">
        <v>21</v>
      </c>
      <c r="B457" s="86" t="s">
        <v>90</v>
      </c>
      <c r="C457" s="86" t="s">
        <v>386</v>
      </c>
      <c r="D457" s="88" t="s">
        <v>131</v>
      </c>
      <c r="E457" s="66" t="s">
        <v>132</v>
      </c>
      <c r="F457" s="21">
        <v>0</v>
      </c>
      <c r="G457" s="21">
        <v>2996.1</v>
      </c>
      <c r="H457" s="21">
        <v>0</v>
      </c>
    </row>
    <row r="458" spans="1:8" ht="31.5">
      <c r="A458" s="86" t="s">
        <v>21</v>
      </c>
      <c r="B458" s="86" t="s">
        <v>90</v>
      </c>
      <c r="C458" s="86">
        <v>1230600000</v>
      </c>
      <c r="D458" s="86"/>
      <c r="E458" s="87" t="s">
        <v>245</v>
      </c>
      <c r="F458" s="21">
        <f>F459+F466+F469</f>
        <v>1366.3999999999999</v>
      </c>
      <c r="G458" s="21">
        <f t="shared" ref="G458:H458" si="160">G459+G466+G469</f>
        <v>0</v>
      </c>
      <c r="H458" s="21">
        <f t="shared" si="160"/>
        <v>0</v>
      </c>
    </row>
    <row r="459" spans="1:8" ht="31.5">
      <c r="A459" s="86" t="s">
        <v>21</v>
      </c>
      <c r="B459" s="86" t="s">
        <v>90</v>
      </c>
      <c r="C459" s="86">
        <v>1230620300</v>
      </c>
      <c r="D459" s="86"/>
      <c r="E459" s="87" t="s">
        <v>246</v>
      </c>
      <c r="F459" s="21">
        <f>F460+F462+F464</f>
        <v>459.79999999999995</v>
      </c>
      <c r="G459" s="21">
        <f t="shared" ref="G459:H459" si="161">G460+G462+G464</f>
        <v>0</v>
      </c>
      <c r="H459" s="21">
        <f t="shared" si="161"/>
        <v>0</v>
      </c>
    </row>
    <row r="460" spans="1:8" ht="63">
      <c r="A460" s="86" t="s">
        <v>21</v>
      </c>
      <c r="B460" s="86" t="s">
        <v>90</v>
      </c>
      <c r="C460" s="86">
        <v>1230620300</v>
      </c>
      <c r="D460" s="88" t="s">
        <v>71</v>
      </c>
      <c r="E460" s="87" t="s">
        <v>1</v>
      </c>
      <c r="F460" s="21">
        <f>F461</f>
        <v>238.4</v>
      </c>
      <c r="G460" s="21">
        <f t="shared" ref="G460:H460" si="162">G461</f>
        <v>0</v>
      </c>
      <c r="H460" s="21">
        <f t="shared" si="162"/>
        <v>0</v>
      </c>
    </row>
    <row r="461" spans="1:8" ht="31.5">
      <c r="A461" s="86" t="s">
        <v>21</v>
      </c>
      <c r="B461" s="86" t="s">
        <v>90</v>
      </c>
      <c r="C461" s="86">
        <v>1230620300</v>
      </c>
      <c r="D461" s="86">
        <v>120</v>
      </c>
      <c r="E461" s="87" t="s">
        <v>319</v>
      </c>
      <c r="F461" s="21">
        <f>162.3+54+22.1</f>
        <v>238.4</v>
      </c>
      <c r="G461" s="21">
        <f>162.3-162.3</f>
        <v>0</v>
      </c>
      <c r="H461" s="21">
        <v>0</v>
      </c>
    </row>
    <row r="462" spans="1:8" ht="31.5">
      <c r="A462" s="86" t="s">
        <v>21</v>
      </c>
      <c r="B462" s="86" t="s">
        <v>90</v>
      </c>
      <c r="C462" s="86">
        <v>1230620300</v>
      </c>
      <c r="D462" s="88" t="s">
        <v>72</v>
      </c>
      <c r="E462" s="87" t="s">
        <v>102</v>
      </c>
      <c r="F462" s="21">
        <f>F463</f>
        <v>122.5</v>
      </c>
      <c r="G462" s="21">
        <f t="shared" ref="G462:H462" si="163">G463</f>
        <v>0</v>
      </c>
      <c r="H462" s="21">
        <f t="shared" si="163"/>
        <v>0</v>
      </c>
    </row>
    <row r="463" spans="1:8" ht="31.5">
      <c r="A463" s="86" t="s">
        <v>21</v>
      </c>
      <c r="B463" s="86" t="s">
        <v>90</v>
      </c>
      <c r="C463" s="86">
        <v>1230620300</v>
      </c>
      <c r="D463" s="86">
        <v>240</v>
      </c>
      <c r="E463" s="87" t="s">
        <v>315</v>
      </c>
      <c r="F463" s="21">
        <f>205-16-66.5</f>
        <v>122.5</v>
      </c>
      <c r="G463" s="21">
        <f>205-205</f>
        <v>0</v>
      </c>
      <c r="H463" s="21">
        <v>0</v>
      </c>
    </row>
    <row r="464" spans="1:8">
      <c r="A464" s="86" t="s">
        <v>21</v>
      </c>
      <c r="B464" s="86" t="s">
        <v>90</v>
      </c>
      <c r="C464" s="86">
        <v>1230620300</v>
      </c>
      <c r="D464" s="86" t="s">
        <v>73</v>
      </c>
      <c r="E464" s="87" t="s">
        <v>74</v>
      </c>
      <c r="F464" s="21">
        <f>F465</f>
        <v>98.9</v>
      </c>
      <c r="G464" s="21">
        <f t="shared" ref="G464:H464" si="164">G465</f>
        <v>0</v>
      </c>
      <c r="H464" s="21">
        <f t="shared" si="164"/>
        <v>0</v>
      </c>
    </row>
    <row r="465" spans="1:8">
      <c r="A465" s="86" t="s">
        <v>21</v>
      </c>
      <c r="B465" s="86" t="s">
        <v>90</v>
      </c>
      <c r="C465" s="86">
        <v>1230620300</v>
      </c>
      <c r="D465" s="86">
        <v>850</v>
      </c>
      <c r="E465" s="87" t="s">
        <v>111</v>
      </c>
      <c r="F465" s="21">
        <f>103.5-4.6</f>
        <v>98.9</v>
      </c>
      <c r="G465" s="21">
        <f>103.5-103.5</f>
        <v>0</v>
      </c>
      <c r="H465" s="21">
        <v>0</v>
      </c>
    </row>
    <row r="466" spans="1:8" ht="31.5">
      <c r="A466" s="86" t="s">
        <v>21</v>
      </c>
      <c r="B466" s="86" t="s">
        <v>90</v>
      </c>
      <c r="C466" s="86">
        <v>1230620310</v>
      </c>
      <c r="D466" s="86"/>
      <c r="E466" s="87" t="s">
        <v>247</v>
      </c>
      <c r="F466" s="21">
        <f>F467</f>
        <v>43.4</v>
      </c>
      <c r="G466" s="21">
        <f t="shared" ref="G466:H467" si="165">G467</f>
        <v>0</v>
      </c>
      <c r="H466" s="21">
        <f t="shared" si="165"/>
        <v>0</v>
      </c>
    </row>
    <row r="467" spans="1:8" ht="31.5">
      <c r="A467" s="86" t="s">
        <v>21</v>
      </c>
      <c r="B467" s="86" t="s">
        <v>90</v>
      </c>
      <c r="C467" s="86">
        <v>1230620310</v>
      </c>
      <c r="D467" s="88" t="s">
        <v>104</v>
      </c>
      <c r="E467" s="87" t="s">
        <v>105</v>
      </c>
      <c r="F467" s="21">
        <f>F468</f>
        <v>43.4</v>
      </c>
      <c r="G467" s="21">
        <f t="shared" si="165"/>
        <v>0</v>
      </c>
      <c r="H467" s="21">
        <f t="shared" si="165"/>
        <v>0</v>
      </c>
    </row>
    <row r="468" spans="1:8">
      <c r="A468" s="86" t="s">
        <v>21</v>
      </c>
      <c r="B468" s="86" t="s">
        <v>90</v>
      </c>
      <c r="C468" s="86">
        <v>1230620310</v>
      </c>
      <c r="D468" s="86">
        <v>610</v>
      </c>
      <c r="E468" s="87" t="s">
        <v>115</v>
      </c>
      <c r="F468" s="21">
        <v>43.4</v>
      </c>
      <c r="G468" s="21">
        <f>43.4-43.4</f>
        <v>0</v>
      </c>
      <c r="H468" s="21">
        <v>0</v>
      </c>
    </row>
    <row r="469" spans="1:8">
      <c r="A469" s="86" t="s">
        <v>21</v>
      </c>
      <c r="B469" s="86" t="s">
        <v>90</v>
      </c>
      <c r="C469" s="86">
        <v>1230620320</v>
      </c>
      <c r="D469" s="86"/>
      <c r="E469" s="87" t="s">
        <v>163</v>
      </c>
      <c r="F469" s="21">
        <f>F470+F472+F474</f>
        <v>863.19999999999993</v>
      </c>
      <c r="G469" s="21">
        <f t="shared" ref="G469:H469" si="166">G470+G472+G474</f>
        <v>0</v>
      </c>
      <c r="H469" s="21">
        <f t="shared" si="166"/>
        <v>0</v>
      </c>
    </row>
    <row r="470" spans="1:8" ht="63">
      <c r="A470" s="86" t="s">
        <v>21</v>
      </c>
      <c r="B470" s="86" t="s">
        <v>90</v>
      </c>
      <c r="C470" s="86">
        <v>1230620320</v>
      </c>
      <c r="D470" s="88" t="s">
        <v>71</v>
      </c>
      <c r="E470" s="87" t="s">
        <v>1</v>
      </c>
      <c r="F470" s="21">
        <f>F471</f>
        <v>493.4</v>
      </c>
      <c r="G470" s="21">
        <f t="shared" ref="G470:H470" si="167">G471</f>
        <v>0</v>
      </c>
      <c r="H470" s="21">
        <f t="shared" si="167"/>
        <v>0</v>
      </c>
    </row>
    <row r="471" spans="1:8" ht="31.5">
      <c r="A471" s="86" t="s">
        <v>21</v>
      </c>
      <c r="B471" s="86" t="s">
        <v>90</v>
      </c>
      <c r="C471" s="86">
        <v>1230620320</v>
      </c>
      <c r="D471" s="86">
        <v>120</v>
      </c>
      <c r="E471" s="87" t="s">
        <v>319</v>
      </c>
      <c r="F471" s="21">
        <f>475.7-38+55.7</f>
        <v>493.4</v>
      </c>
      <c r="G471" s="21">
        <f>475.7-475.7</f>
        <v>0</v>
      </c>
      <c r="H471" s="21">
        <v>0</v>
      </c>
    </row>
    <row r="472" spans="1:8" ht="31.5">
      <c r="A472" s="86" t="s">
        <v>21</v>
      </c>
      <c r="B472" s="86" t="s">
        <v>90</v>
      </c>
      <c r="C472" s="86">
        <v>1230620320</v>
      </c>
      <c r="D472" s="88" t="s">
        <v>72</v>
      </c>
      <c r="E472" s="87" t="s">
        <v>102</v>
      </c>
      <c r="F472" s="21">
        <f>F473</f>
        <v>201.79999999999998</v>
      </c>
      <c r="G472" s="21">
        <f t="shared" ref="G472:H472" si="168">G473</f>
        <v>0</v>
      </c>
      <c r="H472" s="21">
        <f t="shared" si="168"/>
        <v>0</v>
      </c>
    </row>
    <row r="473" spans="1:8" ht="31.5">
      <c r="A473" s="86" t="s">
        <v>21</v>
      </c>
      <c r="B473" s="86" t="s">
        <v>90</v>
      </c>
      <c r="C473" s="86">
        <v>1230620320</v>
      </c>
      <c r="D473" s="86">
        <v>240</v>
      </c>
      <c r="E473" s="87" t="s">
        <v>315</v>
      </c>
      <c r="F473" s="21">
        <f>213.1-11.3</f>
        <v>201.79999999999998</v>
      </c>
      <c r="G473" s="21">
        <f>213.1-213.1</f>
        <v>0</v>
      </c>
      <c r="H473" s="21">
        <v>0</v>
      </c>
    </row>
    <row r="474" spans="1:8" ht="31.5">
      <c r="A474" s="86" t="s">
        <v>21</v>
      </c>
      <c r="B474" s="86" t="s">
        <v>90</v>
      </c>
      <c r="C474" s="86">
        <v>1230620320</v>
      </c>
      <c r="D474" s="88" t="s">
        <v>104</v>
      </c>
      <c r="E474" s="87" t="s">
        <v>105</v>
      </c>
      <c r="F474" s="21">
        <f>F475</f>
        <v>168</v>
      </c>
      <c r="G474" s="21">
        <f t="shared" ref="G474:H474" si="169">G475</f>
        <v>0</v>
      </c>
      <c r="H474" s="21">
        <f t="shared" si="169"/>
        <v>0</v>
      </c>
    </row>
    <row r="475" spans="1:8">
      <c r="A475" s="86" t="s">
        <v>21</v>
      </c>
      <c r="B475" s="86" t="s">
        <v>90</v>
      </c>
      <c r="C475" s="86">
        <v>1230620320</v>
      </c>
      <c r="D475" s="86">
        <v>610</v>
      </c>
      <c r="E475" s="87" t="s">
        <v>115</v>
      </c>
      <c r="F475" s="21">
        <f>39+152.7-23.7</f>
        <v>168</v>
      </c>
      <c r="G475" s="21">
        <f>39-39</f>
        <v>0</v>
      </c>
      <c r="H475" s="21">
        <v>0</v>
      </c>
    </row>
    <row r="476" spans="1:8">
      <c r="A476" s="86" t="s">
        <v>21</v>
      </c>
      <c r="B476" s="86" t="s">
        <v>99</v>
      </c>
      <c r="C476" s="86" t="s">
        <v>69</v>
      </c>
      <c r="D476" s="86" t="s">
        <v>69</v>
      </c>
      <c r="E476" s="42" t="s">
        <v>66</v>
      </c>
      <c r="F476" s="21">
        <f>F477</f>
        <v>2117.2000000000003</v>
      </c>
      <c r="G476" s="21">
        <f t="shared" ref="G476:H479" si="170">G477</f>
        <v>1822.4</v>
      </c>
      <c r="H476" s="21">
        <f t="shared" si="170"/>
        <v>2068.6</v>
      </c>
    </row>
    <row r="477" spans="1:8">
      <c r="A477" s="86" t="s">
        <v>21</v>
      </c>
      <c r="B477" s="86" t="s">
        <v>67</v>
      </c>
      <c r="C477" s="86" t="s">
        <v>69</v>
      </c>
      <c r="D477" s="86" t="s">
        <v>69</v>
      </c>
      <c r="E477" s="87" t="s">
        <v>68</v>
      </c>
      <c r="F477" s="21">
        <f>F478</f>
        <v>2117.2000000000003</v>
      </c>
      <c r="G477" s="21">
        <f t="shared" si="170"/>
        <v>1822.4</v>
      </c>
      <c r="H477" s="21">
        <f t="shared" si="170"/>
        <v>2068.6</v>
      </c>
    </row>
    <row r="478" spans="1:8" ht="47.25">
      <c r="A478" s="86" t="s">
        <v>21</v>
      </c>
      <c r="B478" s="86" t="s">
        <v>67</v>
      </c>
      <c r="C478" s="88">
        <v>1200000000</v>
      </c>
      <c r="D478" s="86"/>
      <c r="E478" s="87" t="s">
        <v>216</v>
      </c>
      <c r="F478" s="21">
        <f>F479</f>
        <v>2117.2000000000003</v>
      </c>
      <c r="G478" s="21">
        <f t="shared" si="170"/>
        <v>1822.4</v>
      </c>
      <c r="H478" s="21">
        <f t="shared" si="170"/>
        <v>2068.6</v>
      </c>
    </row>
    <row r="479" spans="1:8" ht="31.5">
      <c r="A479" s="86" t="s">
        <v>21</v>
      </c>
      <c r="B479" s="86" t="s">
        <v>67</v>
      </c>
      <c r="C479" s="88">
        <v>1240000000</v>
      </c>
      <c r="D479" s="86"/>
      <c r="E479" s="87" t="s">
        <v>150</v>
      </c>
      <c r="F479" s="21">
        <f>F480</f>
        <v>2117.2000000000003</v>
      </c>
      <c r="G479" s="21">
        <f t="shared" si="170"/>
        <v>1822.4</v>
      </c>
      <c r="H479" s="21">
        <f t="shared" si="170"/>
        <v>2068.6</v>
      </c>
    </row>
    <row r="480" spans="1:8">
      <c r="A480" s="86" t="s">
        <v>21</v>
      </c>
      <c r="B480" s="86" t="s">
        <v>67</v>
      </c>
      <c r="C480" s="86">
        <v>1240300000</v>
      </c>
      <c r="D480" s="86"/>
      <c r="E480" s="87" t="s">
        <v>240</v>
      </c>
      <c r="F480" s="21">
        <f>F484+F487+F490+F481</f>
        <v>2117.2000000000003</v>
      </c>
      <c r="G480" s="21">
        <f t="shared" ref="G480:H480" si="171">G484+G487+G490+G481</f>
        <v>1822.4</v>
      </c>
      <c r="H480" s="21">
        <f t="shared" si="171"/>
        <v>2068.6</v>
      </c>
    </row>
    <row r="481" spans="1:8" ht="47.25">
      <c r="A481" s="86" t="s">
        <v>21</v>
      </c>
      <c r="B481" s="86" t="s">
        <v>67</v>
      </c>
      <c r="C481" s="86">
        <v>1240310320</v>
      </c>
      <c r="D481" s="86"/>
      <c r="E481" s="66" t="s">
        <v>407</v>
      </c>
      <c r="F481" s="21">
        <f>F482</f>
        <v>459.3</v>
      </c>
      <c r="G481" s="21">
        <f t="shared" ref="G481:H482" si="172">G482</f>
        <v>0</v>
      </c>
      <c r="H481" s="21">
        <f t="shared" si="172"/>
        <v>0</v>
      </c>
    </row>
    <row r="482" spans="1:8">
      <c r="A482" s="86" t="s">
        <v>21</v>
      </c>
      <c r="B482" s="86" t="s">
        <v>67</v>
      </c>
      <c r="C482" s="86">
        <v>1240310320</v>
      </c>
      <c r="D482" s="86" t="s">
        <v>73</v>
      </c>
      <c r="E482" s="66" t="s">
        <v>74</v>
      </c>
      <c r="F482" s="21">
        <f>F483</f>
        <v>459.3</v>
      </c>
      <c r="G482" s="21">
        <f t="shared" si="172"/>
        <v>0</v>
      </c>
      <c r="H482" s="21">
        <f t="shared" si="172"/>
        <v>0</v>
      </c>
    </row>
    <row r="483" spans="1:8" ht="47.25">
      <c r="A483" s="86" t="s">
        <v>21</v>
      </c>
      <c r="B483" s="86" t="s">
        <v>67</v>
      </c>
      <c r="C483" s="86">
        <v>1240310320</v>
      </c>
      <c r="D483" s="86" t="s">
        <v>174</v>
      </c>
      <c r="E483" s="66" t="s">
        <v>175</v>
      </c>
      <c r="F483" s="21">
        <v>459.3</v>
      </c>
      <c r="G483" s="21">
        <v>0</v>
      </c>
      <c r="H483" s="21">
        <v>0</v>
      </c>
    </row>
    <row r="484" spans="1:8" ht="31.5">
      <c r="A484" s="86" t="s">
        <v>21</v>
      </c>
      <c r="B484" s="86" t="s">
        <v>67</v>
      </c>
      <c r="C484" s="86">
        <v>1240320360</v>
      </c>
      <c r="D484" s="86"/>
      <c r="E484" s="87" t="s">
        <v>170</v>
      </c>
      <c r="F484" s="21">
        <f>F485</f>
        <v>531.79999999999995</v>
      </c>
      <c r="G484" s="21">
        <f t="shared" ref="G484:H485" si="173">G485</f>
        <v>696.30000000000007</v>
      </c>
      <c r="H484" s="21">
        <f t="shared" si="173"/>
        <v>942.5</v>
      </c>
    </row>
    <row r="485" spans="1:8">
      <c r="A485" s="86" t="s">
        <v>21</v>
      </c>
      <c r="B485" s="86" t="s">
        <v>67</v>
      </c>
      <c r="C485" s="86">
        <v>1240320360</v>
      </c>
      <c r="D485" s="86" t="s">
        <v>73</v>
      </c>
      <c r="E485" s="87" t="s">
        <v>74</v>
      </c>
      <c r="F485" s="21">
        <f>F486</f>
        <v>531.79999999999995</v>
      </c>
      <c r="G485" s="21">
        <f t="shared" si="173"/>
        <v>696.30000000000007</v>
      </c>
      <c r="H485" s="21">
        <f t="shared" si="173"/>
        <v>942.5</v>
      </c>
    </row>
    <row r="486" spans="1:8" ht="47.25">
      <c r="A486" s="86" t="s">
        <v>21</v>
      </c>
      <c r="B486" s="86" t="s">
        <v>67</v>
      </c>
      <c r="C486" s="86">
        <v>1240320360</v>
      </c>
      <c r="D486" s="86" t="s">
        <v>174</v>
      </c>
      <c r="E486" s="87" t="s">
        <v>175</v>
      </c>
      <c r="F486" s="21">
        <f>942.5-100-11.9-150-148.8</f>
        <v>531.79999999999995</v>
      </c>
      <c r="G486" s="21">
        <f>942.5-219.8-26.4</f>
        <v>696.30000000000007</v>
      </c>
      <c r="H486" s="21">
        <v>942.5</v>
      </c>
    </row>
    <row r="487" spans="1:8" ht="47.25">
      <c r="A487" s="86" t="s">
        <v>21</v>
      </c>
      <c r="B487" s="86" t="s">
        <v>67</v>
      </c>
      <c r="C487" s="86">
        <v>1240320370</v>
      </c>
      <c r="D487" s="86"/>
      <c r="E487" s="87" t="s">
        <v>171</v>
      </c>
      <c r="F487" s="21">
        <f>F488</f>
        <v>489.6</v>
      </c>
      <c r="G487" s="21">
        <f t="shared" ref="G487:H488" si="174">G488</f>
        <v>489.6</v>
      </c>
      <c r="H487" s="21">
        <f t="shared" si="174"/>
        <v>489.6</v>
      </c>
    </row>
    <row r="488" spans="1:8">
      <c r="A488" s="86" t="s">
        <v>21</v>
      </c>
      <c r="B488" s="86" t="s">
        <v>67</v>
      </c>
      <c r="C488" s="86">
        <v>1240320370</v>
      </c>
      <c r="D488" s="86" t="s">
        <v>73</v>
      </c>
      <c r="E488" s="87" t="s">
        <v>74</v>
      </c>
      <c r="F488" s="21">
        <f>F489</f>
        <v>489.6</v>
      </c>
      <c r="G488" s="21">
        <f t="shared" si="174"/>
        <v>489.6</v>
      </c>
      <c r="H488" s="21">
        <f t="shared" si="174"/>
        <v>489.6</v>
      </c>
    </row>
    <row r="489" spans="1:8" ht="47.25">
      <c r="A489" s="86" t="s">
        <v>21</v>
      </c>
      <c r="B489" s="86" t="s">
        <v>67</v>
      </c>
      <c r="C489" s="86">
        <v>1240320370</v>
      </c>
      <c r="D489" s="86" t="s">
        <v>174</v>
      </c>
      <c r="E489" s="87" t="s">
        <v>175</v>
      </c>
      <c r="F489" s="21">
        <v>489.6</v>
      </c>
      <c r="G489" s="21">
        <v>489.6</v>
      </c>
      <c r="H489" s="21">
        <v>489.6</v>
      </c>
    </row>
    <row r="490" spans="1:8" ht="47.25">
      <c r="A490" s="86" t="s">
        <v>21</v>
      </c>
      <c r="B490" s="86" t="s">
        <v>67</v>
      </c>
      <c r="C490" s="86" t="s">
        <v>173</v>
      </c>
      <c r="D490" s="86"/>
      <c r="E490" s="87" t="s">
        <v>172</v>
      </c>
      <c r="F490" s="21">
        <f>F491</f>
        <v>636.5</v>
      </c>
      <c r="G490" s="21">
        <f t="shared" ref="G490:H491" si="175">G491</f>
        <v>636.5</v>
      </c>
      <c r="H490" s="21">
        <f t="shared" si="175"/>
        <v>636.5</v>
      </c>
    </row>
    <row r="491" spans="1:8">
      <c r="A491" s="86" t="s">
        <v>21</v>
      </c>
      <c r="B491" s="86" t="s">
        <v>67</v>
      </c>
      <c r="C491" s="86" t="s">
        <v>173</v>
      </c>
      <c r="D491" s="86" t="s">
        <v>73</v>
      </c>
      <c r="E491" s="87" t="s">
        <v>74</v>
      </c>
      <c r="F491" s="21">
        <f>F492</f>
        <v>636.5</v>
      </c>
      <c r="G491" s="21">
        <f t="shared" si="175"/>
        <v>636.5</v>
      </c>
      <c r="H491" s="21">
        <f t="shared" si="175"/>
        <v>636.5</v>
      </c>
    </row>
    <row r="492" spans="1:8" ht="47.25">
      <c r="A492" s="86" t="s">
        <v>21</v>
      </c>
      <c r="B492" s="86" t="s">
        <v>67</v>
      </c>
      <c r="C492" s="86" t="s">
        <v>173</v>
      </c>
      <c r="D492" s="86" t="s">
        <v>174</v>
      </c>
      <c r="E492" s="87" t="s">
        <v>175</v>
      </c>
      <c r="F492" s="21">
        <v>636.5</v>
      </c>
      <c r="G492" s="21">
        <v>636.5</v>
      </c>
      <c r="H492" s="21">
        <v>636.5</v>
      </c>
    </row>
    <row r="493" spans="1:8" ht="31.5">
      <c r="A493" s="15" t="s">
        <v>37</v>
      </c>
      <c r="B493" s="24" t="s">
        <v>69</v>
      </c>
      <c r="C493" s="24" t="s">
        <v>69</v>
      </c>
      <c r="D493" s="24" t="s">
        <v>69</v>
      </c>
      <c r="E493" s="40" t="s">
        <v>272</v>
      </c>
      <c r="F493" s="25">
        <f>F494+F521</f>
        <v>7227.4000000000005</v>
      </c>
      <c r="G493" s="25">
        <f>G494+G521</f>
        <v>7119.2999999999993</v>
      </c>
      <c r="H493" s="25">
        <f>H494+H521</f>
        <v>6794.1999999999989</v>
      </c>
    </row>
    <row r="494" spans="1:8">
      <c r="A494" s="86" t="s">
        <v>37</v>
      </c>
      <c r="B494" s="86" t="s">
        <v>57</v>
      </c>
      <c r="C494" s="86" t="s">
        <v>69</v>
      </c>
      <c r="D494" s="86" t="s">
        <v>69</v>
      </c>
      <c r="E494" s="56" t="s">
        <v>22</v>
      </c>
      <c r="F494" s="21">
        <f>F495+F504+F510</f>
        <v>7221.4000000000005</v>
      </c>
      <c r="G494" s="21">
        <f>G495+G504+G510</f>
        <v>7073.2999999999993</v>
      </c>
      <c r="H494" s="21">
        <f>H495+H504+H510</f>
        <v>6748.1999999999989</v>
      </c>
    </row>
    <row r="495" spans="1:8" ht="34.5" customHeight="1">
      <c r="A495" s="86" t="s">
        <v>37</v>
      </c>
      <c r="B495" s="86" t="s">
        <v>48</v>
      </c>
      <c r="C495" s="86" t="s">
        <v>69</v>
      </c>
      <c r="D495" s="86" t="s">
        <v>69</v>
      </c>
      <c r="E495" s="87" t="s">
        <v>8</v>
      </c>
      <c r="F495" s="21">
        <f>F496</f>
        <v>6771.7</v>
      </c>
      <c r="G495" s="21">
        <f t="shared" ref="G495:H498" si="176">G496</f>
        <v>6273.2999999999993</v>
      </c>
      <c r="H495" s="21">
        <f t="shared" si="176"/>
        <v>6273.2999999999993</v>
      </c>
    </row>
    <row r="496" spans="1:8">
      <c r="A496" s="86" t="s">
        <v>37</v>
      </c>
      <c r="B496" s="86" t="s">
        <v>48</v>
      </c>
      <c r="C496" s="86">
        <v>9900000000</v>
      </c>
      <c r="D496" s="86"/>
      <c r="E496" s="87" t="s">
        <v>116</v>
      </c>
      <c r="F496" s="21">
        <f>F497</f>
        <v>6771.7</v>
      </c>
      <c r="G496" s="21">
        <f t="shared" si="176"/>
        <v>6273.2999999999993</v>
      </c>
      <c r="H496" s="21">
        <f t="shared" si="176"/>
        <v>6273.2999999999993</v>
      </c>
    </row>
    <row r="497" spans="1:8" ht="31.5">
      <c r="A497" s="86" t="s">
        <v>37</v>
      </c>
      <c r="B497" s="86" t="s">
        <v>48</v>
      </c>
      <c r="C497" s="86">
        <v>9990000000</v>
      </c>
      <c r="D497" s="86"/>
      <c r="E497" s="87" t="s">
        <v>176</v>
      </c>
      <c r="F497" s="21">
        <f>F498</f>
        <v>6771.7</v>
      </c>
      <c r="G497" s="21">
        <f t="shared" si="176"/>
        <v>6273.2999999999993</v>
      </c>
      <c r="H497" s="21">
        <f t="shared" si="176"/>
        <v>6273.2999999999993</v>
      </c>
    </row>
    <row r="498" spans="1:8" ht="31.5">
      <c r="A498" s="86" t="s">
        <v>37</v>
      </c>
      <c r="B498" s="86" t="s">
        <v>48</v>
      </c>
      <c r="C498" s="86">
        <v>9990200000</v>
      </c>
      <c r="D498" s="24"/>
      <c r="E498" s="87" t="s">
        <v>129</v>
      </c>
      <c r="F498" s="21">
        <f t="shared" ref="F498" si="177">F499</f>
        <v>6771.7</v>
      </c>
      <c r="G498" s="21">
        <f t="shared" si="176"/>
        <v>6273.2999999999993</v>
      </c>
      <c r="H498" s="21">
        <f>H499</f>
        <v>6273.2999999999993</v>
      </c>
    </row>
    <row r="499" spans="1:8" ht="47.25">
      <c r="A499" s="86" t="s">
        <v>37</v>
      </c>
      <c r="B499" s="86" t="s">
        <v>48</v>
      </c>
      <c r="C499" s="86">
        <v>9990225000</v>
      </c>
      <c r="D499" s="86"/>
      <c r="E499" s="87" t="s">
        <v>130</v>
      </c>
      <c r="F499" s="21">
        <f>F500+F502</f>
        <v>6771.7</v>
      </c>
      <c r="G499" s="21">
        <f t="shared" ref="G499:H499" si="178">G500+G502</f>
        <v>6273.2999999999993</v>
      </c>
      <c r="H499" s="21">
        <f t="shared" si="178"/>
        <v>6273.2999999999993</v>
      </c>
    </row>
    <row r="500" spans="1:8" ht="63">
      <c r="A500" s="86" t="s">
        <v>37</v>
      </c>
      <c r="B500" s="86" t="s">
        <v>48</v>
      </c>
      <c r="C500" s="86">
        <v>9990225000</v>
      </c>
      <c r="D500" s="86" t="s">
        <v>71</v>
      </c>
      <c r="E500" s="87" t="s">
        <v>1</v>
      </c>
      <c r="F500" s="21">
        <f>F501</f>
        <v>6738</v>
      </c>
      <c r="G500" s="21">
        <f t="shared" ref="G500:H500" si="179">G501</f>
        <v>6178.9</v>
      </c>
      <c r="H500" s="21">
        <f t="shared" si="179"/>
        <v>6178.9</v>
      </c>
    </row>
    <row r="501" spans="1:8" ht="31.5">
      <c r="A501" s="86" t="s">
        <v>37</v>
      </c>
      <c r="B501" s="86" t="s">
        <v>48</v>
      </c>
      <c r="C501" s="86">
        <v>9990225000</v>
      </c>
      <c r="D501" s="86">
        <v>120</v>
      </c>
      <c r="E501" s="87" t="s">
        <v>319</v>
      </c>
      <c r="F501" s="21">
        <f>6178.9+559.1</f>
        <v>6738</v>
      </c>
      <c r="G501" s="21">
        <v>6178.9</v>
      </c>
      <c r="H501" s="21">
        <v>6178.9</v>
      </c>
    </row>
    <row r="502" spans="1:8">
      <c r="A502" s="86" t="s">
        <v>37</v>
      </c>
      <c r="B502" s="86" t="s">
        <v>48</v>
      </c>
      <c r="C502" s="86">
        <v>9990225000</v>
      </c>
      <c r="D502" s="86" t="s">
        <v>73</v>
      </c>
      <c r="E502" s="87" t="s">
        <v>74</v>
      </c>
      <c r="F502" s="21">
        <f>F503</f>
        <v>33.700000000000003</v>
      </c>
      <c r="G502" s="21">
        <f t="shared" ref="G502" si="180">G503</f>
        <v>94.4</v>
      </c>
      <c r="H502" s="21">
        <f>H503</f>
        <v>94.4</v>
      </c>
    </row>
    <row r="503" spans="1:8">
      <c r="A503" s="86" t="s">
        <v>37</v>
      </c>
      <c r="B503" s="86" t="s">
        <v>48</v>
      </c>
      <c r="C503" s="86">
        <v>9990225000</v>
      </c>
      <c r="D503" s="86">
        <v>850</v>
      </c>
      <c r="E503" s="87" t="s">
        <v>111</v>
      </c>
      <c r="F503" s="21">
        <f>94.4-60.7</f>
        <v>33.700000000000003</v>
      </c>
      <c r="G503" s="21">
        <v>94.4</v>
      </c>
      <c r="H503" s="21">
        <v>94.4</v>
      </c>
    </row>
    <row r="504" spans="1:8">
      <c r="A504" s="86" t="s">
        <v>37</v>
      </c>
      <c r="B504" s="86" t="s">
        <v>49</v>
      </c>
      <c r="C504" s="86"/>
      <c r="D504" s="86"/>
      <c r="E504" s="87" t="s">
        <v>9</v>
      </c>
      <c r="F504" s="21">
        <f>F505</f>
        <v>392.6</v>
      </c>
      <c r="G504" s="21">
        <f t="shared" ref="G504:H508" si="181">G505</f>
        <v>800</v>
      </c>
      <c r="H504" s="21">
        <f t="shared" si="181"/>
        <v>474.9</v>
      </c>
    </row>
    <row r="505" spans="1:8">
      <c r="A505" s="86" t="s">
        <v>37</v>
      </c>
      <c r="B505" s="86" t="s">
        <v>49</v>
      </c>
      <c r="C505" s="86">
        <v>9900000000</v>
      </c>
      <c r="D505" s="86"/>
      <c r="E505" s="87" t="s">
        <v>116</v>
      </c>
      <c r="F505" s="21">
        <f>F506</f>
        <v>392.6</v>
      </c>
      <c r="G505" s="21">
        <f t="shared" si="181"/>
        <v>800</v>
      </c>
      <c r="H505" s="21">
        <f t="shared" si="181"/>
        <v>474.9</v>
      </c>
    </row>
    <row r="506" spans="1:8">
      <c r="A506" s="86" t="s">
        <v>37</v>
      </c>
      <c r="B506" s="86" t="s">
        <v>49</v>
      </c>
      <c r="C506" s="86">
        <v>9910000000</v>
      </c>
      <c r="D506" s="86"/>
      <c r="E506" s="87" t="s">
        <v>9</v>
      </c>
      <c r="F506" s="21">
        <f>F507</f>
        <v>392.6</v>
      </c>
      <c r="G506" s="21">
        <f t="shared" si="181"/>
        <v>800</v>
      </c>
      <c r="H506" s="21">
        <f t="shared" si="181"/>
        <v>474.9</v>
      </c>
    </row>
    <row r="507" spans="1:8" ht="31.5">
      <c r="A507" s="86" t="s">
        <v>37</v>
      </c>
      <c r="B507" s="86" t="s">
        <v>49</v>
      </c>
      <c r="C507" s="86">
        <v>9910020000</v>
      </c>
      <c r="D507" s="86"/>
      <c r="E507" s="87" t="s">
        <v>194</v>
      </c>
      <c r="F507" s="21">
        <f>F508</f>
        <v>392.6</v>
      </c>
      <c r="G507" s="21">
        <f t="shared" si="181"/>
        <v>800</v>
      </c>
      <c r="H507" s="21">
        <f t="shared" si="181"/>
        <v>474.9</v>
      </c>
    </row>
    <row r="508" spans="1:8">
      <c r="A508" s="86" t="s">
        <v>37</v>
      </c>
      <c r="B508" s="86" t="s">
        <v>49</v>
      </c>
      <c r="C508" s="86">
        <v>9910020000</v>
      </c>
      <c r="D508" s="88" t="s">
        <v>73</v>
      </c>
      <c r="E508" s="87" t="s">
        <v>74</v>
      </c>
      <c r="F508" s="21">
        <f>F509</f>
        <v>392.6</v>
      </c>
      <c r="G508" s="21">
        <f t="shared" si="181"/>
        <v>800</v>
      </c>
      <c r="H508" s="21">
        <f t="shared" si="181"/>
        <v>474.9</v>
      </c>
    </row>
    <row r="509" spans="1:8">
      <c r="A509" s="86" t="s">
        <v>37</v>
      </c>
      <c r="B509" s="86" t="s">
        <v>49</v>
      </c>
      <c r="C509" s="86">
        <v>9910020000</v>
      </c>
      <c r="D509" s="2" t="s">
        <v>195</v>
      </c>
      <c r="E509" s="57" t="s">
        <v>196</v>
      </c>
      <c r="F509" s="21">
        <f>1000-200-407.4</f>
        <v>392.6</v>
      </c>
      <c r="G509" s="21">
        <v>800</v>
      </c>
      <c r="H509" s="21">
        <v>474.9</v>
      </c>
    </row>
    <row r="510" spans="1:8">
      <c r="A510" s="86" t="s">
        <v>37</v>
      </c>
      <c r="B510" s="86" t="s">
        <v>63</v>
      </c>
      <c r="C510" s="86"/>
      <c r="D510" s="86"/>
      <c r="E510" s="87" t="s">
        <v>25</v>
      </c>
      <c r="F510" s="21">
        <f>F511</f>
        <v>57.100000000000009</v>
      </c>
      <c r="G510" s="21">
        <f>G511</f>
        <v>0</v>
      </c>
      <c r="H510" s="21">
        <f>H511</f>
        <v>0</v>
      </c>
    </row>
    <row r="511" spans="1:8" ht="47.25">
      <c r="A511" s="86" t="s">
        <v>37</v>
      </c>
      <c r="B511" s="88" t="s">
        <v>63</v>
      </c>
      <c r="C511" s="88">
        <v>1600000000</v>
      </c>
      <c r="D511" s="88"/>
      <c r="E511" s="87" t="s">
        <v>125</v>
      </c>
      <c r="F511" s="21">
        <f>F512</f>
        <v>57.100000000000009</v>
      </c>
      <c r="G511" s="21">
        <f t="shared" ref="G511:H511" si="182">G512</f>
        <v>0</v>
      </c>
      <c r="H511" s="21">
        <f t="shared" si="182"/>
        <v>0</v>
      </c>
    </row>
    <row r="512" spans="1:8" ht="47.25">
      <c r="A512" s="86" t="s">
        <v>37</v>
      </c>
      <c r="B512" s="86" t="s">
        <v>63</v>
      </c>
      <c r="C512" s="88">
        <v>1630000000</v>
      </c>
      <c r="D512" s="86"/>
      <c r="E512" s="87" t="s">
        <v>258</v>
      </c>
      <c r="F512" s="21">
        <f>F513+F517</f>
        <v>57.100000000000009</v>
      </c>
      <c r="G512" s="21">
        <f t="shared" ref="G512:H512" si="183">G513+G517</f>
        <v>0</v>
      </c>
      <c r="H512" s="21">
        <f t="shared" si="183"/>
        <v>0</v>
      </c>
    </row>
    <row r="513" spans="1:8" ht="47.25">
      <c r="A513" s="86" t="s">
        <v>37</v>
      </c>
      <c r="B513" s="88" t="s">
        <v>63</v>
      </c>
      <c r="C513" s="86">
        <v>1630100000</v>
      </c>
      <c r="D513" s="86"/>
      <c r="E513" s="87" t="s">
        <v>259</v>
      </c>
      <c r="F513" s="21">
        <f>F514</f>
        <v>50.900000000000006</v>
      </c>
      <c r="G513" s="21">
        <f t="shared" ref="G513:H515" si="184">G514</f>
        <v>0</v>
      </c>
      <c r="H513" s="21">
        <f t="shared" si="184"/>
        <v>0</v>
      </c>
    </row>
    <row r="514" spans="1:8" ht="47.25">
      <c r="A514" s="86" t="s">
        <v>37</v>
      </c>
      <c r="B514" s="86" t="s">
        <v>63</v>
      </c>
      <c r="C514" s="86">
        <v>1630120180</v>
      </c>
      <c r="D514" s="86"/>
      <c r="E514" s="87" t="s">
        <v>260</v>
      </c>
      <c r="F514" s="21">
        <f>F515</f>
        <v>50.900000000000006</v>
      </c>
      <c r="G514" s="21">
        <f t="shared" si="184"/>
        <v>0</v>
      </c>
      <c r="H514" s="21">
        <f t="shared" si="184"/>
        <v>0</v>
      </c>
    </row>
    <row r="515" spans="1:8" ht="31.5">
      <c r="A515" s="86" t="s">
        <v>37</v>
      </c>
      <c r="B515" s="88" t="s">
        <v>63</v>
      </c>
      <c r="C515" s="86">
        <v>1630120180</v>
      </c>
      <c r="D515" s="86" t="s">
        <v>72</v>
      </c>
      <c r="E515" s="87" t="s">
        <v>102</v>
      </c>
      <c r="F515" s="21">
        <f>F516</f>
        <v>50.900000000000006</v>
      </c>
      <c r="G515" s="21">
        <f t="shared" si="184"/>
        <v>0</v>
      </c>
      <c r="H515" s="21">
        <f t="shared" si="184"/>
        <v>0</v>
      </c>
    </row>
    <row r="516" spans="1:8" ht="31.5">
      <c r="A516" s="86" t="s">
        <v>37</v>
      </c>
      <c r="B516" s="88" t="s">
        <v>63</v>
      </c>
      <c r="C516" s="86">
        <v>1630120180</v>
      </c>
      <c r="D516" s="86">
        <v>240</v>
      </c>
      <c r="E516" s="87" t="s">
        <v>315</v>
      </c>
      <c r="F516" s="21">
        <f>76.4-25.5</f>
        <v>50.900000000000006</v>
      </c>
      <c r="G516" s="21">
        <v>0</v>
      </c>
      <c r="H516" s="21">
        <v>0</v>
      </c>
    </row>
    <row r="517" spans="1:8" ht="47.25">
      <c r="A517" s="86" t="s">
        <v>37</v>
      </c>
      <c r="B517" s="86" t="s">
        <v>63</v>
      </c>
      <c r="C517" s="86">
        <v>1630200000</v>
      </c>
      <c r="D517" s="86"/>
      <c r="E517" s="87" t="s">
        <v>261</v>
      </c>
      <c r="F517" s="21">
        <f>F518</f>
        <v>6.2</v>
      </c>
      <c r="G517" s="21">
        <f t="shared" ref="G517:H519" si="185">G518</f>
        <v>0</v>
      </c>
      <c r="H517" s="21">
        <f t="shared" si="185"/>
        <v>0</v>
      </c>
    </row>
    <row r="518" spans="1:8" ht="16.5" customHeight="1">
      <c r="A518" s="86" t="s">
        <v>37</v>
      </c>
      <c r="B518" s="88" t="s">
        <v>63</v>
      </c>
      <c r="C518" s="86">
        <v>1630220530</v>
      </c>
      <c r="D518" s="86"/>
      <c r="E518" s="87" t="s">
        <v>262</v>
      </c>
      <c r="F518" s="21">
        <f>F519</f>
        <v>6.2</v>
      </c>
      <c r="G518" s="21">
        <f t="shared" si="185"/>
        <v>0</v>
      </c>
      <c r="H518" s="21">
        <f t="shared" si="185"/>
        <v>0</v>
      </c>
    </row>
    <row r="519" spans="1:8" ht="31.5">
      <c r="A519" s="86" t="s">
        <v>37</v>
      </c>
      <c r="B519" s="88" t="s">
        <v>63</v>
      </c>
      <c r="C519" s="86">
        <v>1630220530</v>
      </c>
      <c r="D519" s="86" t="s">
        <v>72</v>
      </c>
      <c r="E519" s="87" t="s">
        <v>102</v>
      </c>
      <c r="F519" s="21">
        <f>F520</f>
        <v>6.2</v>
      </c>
      <c r="G519" s="21">
        <f t="shared" si="185"/>
        <v>0</v>
      </c>
      <c r="H519" s="21">
        <f t="shared" si="185"/>
        <v>0</v>
      </c>
    </row>
    <row r="520" spans="1:8" ht="31.5">
      <c r="A520" s="86" t="s">
        <v>37</v>
      </c>
      <c r="B520" s="86" t="s">
        <v>63</v>
      </c>
      <c r="C520" s="86">
        <v>1630220530</v>
      </c>
      <c r="D520" s="86">
        <v>240</v>
      </c>
      <c r="E520" s="87" t="s">
        <v>315</v>
      </c>
      <c r="F520" s="21">
        <v>6.2</v>
      </c>
      <c r="G520" s="21">
        <v>0</v>
      </c>
      <c r="H520" s="21">
        <v>0</v>
      </c>
    </row>
    <row r="521" spans="1:8">
      <c r="A521" s="86" t="s">
        <v>37</v>
      </c>
      <c r="B521" s="86" t="s">
        <v>328</v>
      </c>
      <c r="C521" s="86" t="s">
        <v>69</v>
      </c>
      <c r="D521" s="86" t="s">
        <v>69</v>
      </c>
      <c r="E521" s="66" t="s">
        <v>329</v>
      </c>
      <c r="F521" s="21">
        <f t="shared" ref="F521:F526" si="186">F522</f>
        <v>6</v>
      </c>
      <c r="G521" s="21">
        <f t="shared" ref="G521:H521" si="187">G522</f>
        <v>46</v>
      </c>
      <c r="H521" s="21">
        <f t="shared" si="187"/>
        <v>46</v>
      </c>
    </row>
    <row r="522" spans="1:8" ht="31.5">
      <c r="A522" s="86" t="s">
        <v>37</v>
      </c>
      <c r="B522" s="86" t="s">
        <v>330</v>
      </c>
      <c r="C522" s="86" t="s">
        <v>69</v>
      </c>
      <c r="D522" s="86" t="s">
        <v>69</v>
      </c>
      <c r="E522" s="66" t="s">
        <v>331</v>
      </c>
      <c r="F522" s="21">
        <f t="shared" si="186"/>
        <v>6</v>
      </c>
      <c r="G522" s="21">
        <f t="shared" ref="G522:H526" si="188">G523</f>
        <v>46</v>
      </c>
      <c r="H522" s="21">
        <f t="shared" si="188"/>
        <v>46</v>
      </c>
    </row>
    <row r="523" spans="1:8">
      <c r="A523" s="86" t="s">
        <v>37</v>
      </c>
      <c r="B523" s="86" t="s">
        <v>330</v>
      </c>
      <c r="C523" s="86">
        <v>9900000000</v>
      </c>
      <c r="D523" s="86"/>
      <c r="E523" s="66" t="s">
        <v>116</v>
      </c>
      <c r="F523" s="21">
        <f t="shared" si="186"/>
        <v>6</v>
      </c>
      <c r="G523" s="21">
        <f t="shared" si="188"/>
        <v>46</v>
      </c>
      <c r="H523" s="21">
        <f t="shared" si="188"/>
        <v>46</v>
      </c>
    </row>
    <row r="524" spans="1:8" ht="31.5">
      <c r="A524" s="86" t="s">
        <v>37</v>
      </c>
      <c r="B524" s="86" t="s">
        <v>330</v>
      </c>
      <c r="C524" s="86">
        <v>9930000000</v>
      </c>
      <c r="D524" s="86"/>
      <c r="E524" s="66" t="s">
        <v>189</v>
      </c>
      <c r="F524" s="21">
        <f t="shared" si="186"/>
        <v>6</v>
      </c>
      <c r="G524" s="21">
        <f t="shared" si="188"/>
        <v>46</v>
      </c>
      <c r="H524" s="21">
        <f t="shared" si="188"/>
        <v>46</v>
      </c>
    </row>
    <row r="525" spans="1:8">
      <c r="A525" s="86" t="s">
        <v>37</v>
      </c>
      <c r="B525" s="86" t="s">
        <v>330</v>
      </c>
      <c r="C525" s="86">
        <v>9930020500</v>
      </c>
      <c r="D525" s="86"/>
      <c r="E525" s="66" t="s">
        <v>332</v>
      </c>
      <c r="F525" s="21">
        <f t="shared" si="186"/>
        <v>6</v>
      </c>
      <c r="G525" s="21">
        <f t="shared" si="188"/>
        <v>46</v>
      </c>
      <c r="H525" s="21">
        <f t="shared" si="188"/>
        <v>46</v>
      </c>
    </row>
    <row r="526" spans="1:8">
      <c r="A526" s="86" t="s">
        <v>37</v>
      </c>
      <c r="B526" s="86" t="s">
        <v>330</v>
      </c>
      <c r="C526" s="86">
        <v>9930020500</v>
      </c>
      <c r="D526" s="86" t="s">
        <v>333</v>
      </c>
      <c r="E526" s="66" t="s">
        <v>334</v>
      </c>
      <c r="F526" s="21">
        <f t="shared" si="186"/>
        <v>6</v>
      </c>
      <c r="G526" s="21">
        <f t="shared" si="188"/>
        <v>46</v>
      </c>
      <c r="H526" s="21">
        <f t="shared" si="188"/>
        <v>46</v>
      </c>
    </row>
    <row r="527" spans="1:8">
      <c r="A527" s="86" t="s">
        <v>37</v>
      </c>
      <c r="B527" s="86" t="s">
        <v>330</v>
      </c>
      <c r="C527" s="86">
        <v>9930020500</v>
      </c>
      <c r="D527" s="1" t="s">
        <v>335</v>
      </c>
      <c r="E527" s="69" t="s">
        <v>332</v>
      </c>
      <c r="F527" s="21">
        <f>30+16-40</f>
        <v>6</v>
      </c>
      <c r="G527" s="21">
        <f>30+16</f>
        <v>46</v>
      </c>
      <c r="H527" s="21">
        <f>30+16</f>
        <v>46</v>
      </c>
    </row>
    <row r="528" spans="1:8" ht="31.5">
      <c r="A528" s="15" t="s">
        <v>35</v>
      </c>
      <c r="B528" s="24" t="s">
        <v>69</v>
      </c>
      <c r="C528" s="24" t="s">
        <v>69</v>
      </c>
      <c r="D528" s="24" t="s">
        <v>69</v>
      </c>
      <c r="E528" s="40" t="s">
        <v>3</v>
      </c>
      <c r="F528" s="25">
        <f>F529+F556+F564+F572</f>
        <v>13539.299999999997</v>
      </c>
      <c r="G528" s="25">
        <f>G529+G556+G564+G572</f>
        <v>14140.9</v>
      </c>
      <c r="H528" s="25">
        <f>H529+H556+H564+H572</f>
        <v>18608.699999999997</v>
      </c>
    </row>
    <row r="529" spans="1:8">
      <c r="A529" s="88" t="s">
        <v>35</v>
      </c>
      <c r="B529" s="88" t="s">
        <v>57</v>
      </c>
      <c r="C529" s="88" t="s">
        <v>69</v>
      </c>
      <c r="D529" s="88" t="s">
        <v>69</v>
      </c>
      <c r="E529" s="56" t="s">
        <v>22</v>
      </c>
      <c r="F529" s="21">
        <f>F530</f>
        <v>5840.8999999999987</v>
      </c>
      <c r="G529" s="21">
        <f t="shared" ref="G529:H529" si="189">G530</f>
        <v>4295.0999999999995</v>
      </c>
      <c r="H529" s="21">
        <f t="shared" si="189"/>
        <v>4169.0999999999995</v>
      </c>
    </row>
    <row r="530" spans="1:8">
      <c r="A530" s="88" t="s">
        <v>35</v>
      </c>
      <c r="B530" s="88" t="s">
        <v>63</v>
      </c>
      <c r="C530" s="88" t="s">
        <v>69</v>
      </c>
      <c r="D530" s="88" t="s">
        <v>69</v>
      </c>
      <c r="E530" s="87" t="s">
        <v>25</v>
      </c>
      <c r="F530" s="21">
        <f>F531+F542</f>
        <v>5840.8999999999987</v>
      </c>
      <c r="G530" s="21">
        <f>G531+G542</f>
        <v>4295.0999999999995</v>
      </c>
      <c r="H530" s="21">
        <f>H531+H542</f>
        <v>4169.0999999999995</v>
      </c>
    </row>
    <row r="531" spans="1:8" ht="47.25">
      <c r="A531" s="88" t="s">
        <v>35</v>
      </c>
      <c r="B531" s="88" t="s">
        <v>63</v>
      </c>
      <c r="C531" s="88">
        <v>1600000000</v>
      </c>
      <c r="D531" s="88"/>
      <c r="E531" s="87" t="s">
        <v>125</v>
      </c>
      <c r="F531" s="21">
        <f>F532</f>
        <v>607.20000000000005</v>
      </c>
      <c r="G531" s="21">
        <f t="shared" ref="G531:H531" si="190">G532</f>
        <v>283.89999999999998</v>
      </c>
      <c r="H531" s="21">
        <f t="shared" si="190"/>
        <v>157.9</v>
      </c>
    </row>
    <row r="532" spans="1:8" ht="31.5">
      <c r="A532" s="88" t="s">
        <v>35</v>
      </c>
      <c r="B532" s="88" t="s">
        <v>63</v>
      </c>
      <c r="C532" s="88">
        <v>1620000000</v>
      </c>
      <c r="D532" s="88"/>
      <c r="E532" s="87" t="s">
        <v>118</v>
      </c>
      <c r="F532" s="21">
        <f>F533</f>
        <v>607.20000000000005</v>
      </c>
      <c r="G532" s="21">
        <f t="shared" ref="G532:H532" si="191">G533</f>
        <v>283.89999999999998</v>
      </c>
      <c r="H532" s="21">
        <f t="shared" si="191"/>
        <v>157.9</v>
      </c>
    </row>
    <row r="533" spans="1:8">
      <c r="A533" s="88" t="s">
        <v>35</v>
      </c>
      <c r="B533" s="88" t="s">
        <v>63</v>
      </c>
      <c r="C533" s="88">
        <v>1620100000</v>
      </c>
      <c r="D533" s="88"/>
      <c r="E533" s="87" t="s">
        <v>119</v>
      </c>
      <c r="F533" s="21">
        <f>F534+F537</f>
        <v>607.20000000000005</v>
      </c>
      <c r="G533" s="21">
        <f t="shared" ref="G533:H533" si="192">G534+G537</f>
        <v>283.89999999999998</v>
      </c>
      <c r="H533" s="21">
        <f t="shared" si="192"/>
        <v>157.9</v>
      </c>
    </row>
    <row r="534" spans="1:8">
      <c r="A534" s="88" t="s">
        <v>35</v>
      </c>
      <c r="B534" s="88" t="s">
        <v>63</v>
      </c>
      <c r="C534" s="88">
        <v>1620120210</v>
      </c>
      <c r="D534" s="18"/>
      <c r="E534" s="87" t="s">
        <v>120</v>
      </c>
      <c r="F534" s="21">
        <f>F535</f>
        <v>339.6</v>
      </c>
      <c r="G534" s="21">
        <f t="shared" ref="G534:H535" si="193">G535</f>
        <v>157.9</v>
      </c>
      <c r="H534" s="21">
        <f t="shared" si="193"/>
        <v>157.9</v>
      </c>
    </row>
    <row r="535" spans="1:8" ht="31.5">
      <c r="A535" s="88" t="s">
        <v>35</v>
      </c>
      <c r="B535" s="88" t="s">
        <v>63</v>
      </c>
      <c r="C535" s="88">
        <v>1620120210</v>
      </c>
      <c r="D535" s="88" t="s">
        <v>72</v>
      </c>
      <c r="E535" s="87" t="s">
        <v>102</v>
      </c>
      <c r="F535" s="21">
        <f>F536</f>
        <v>339.6</v>
      </c>
      <c r="G535" s="21">
        <f t="shared" si="193"/>
        <v>157.9</v>
      </c>
      <c r="H535" s="21">
        <f t="shared" si="193"/>
        <v>157.9</v>
      </c>
    </row>
    <row r="536" spans="1:8" ht="31.5">
      <c r="A536" s="88" t="s">
        <v>35</v>
      </c>
      <c r="B536" s="88" t="s">
        <v>63</v>
      </c>
      <c r="C536" s="88">
        <v>1620120210</v>
      </c>
      <c r="D536" s="86">
        <v>240</v>
      </c>
      <c r="E536" s="87" t="s">
        <v>315</v>
      </c>
      <c r="F536" s="21">
        <f>157.9+181.7</f>
        <v>339.6</v>
      </c>
      <c r="G536" s="21">
        <v>157.9</v>
      </c>
      <c r="H536" s="21">
        <v>157.9</v>
      </c>
    </row>
    <row r="537" spans="1:8" ht="31.5">
      <c r="A537" s="88" t="s">
        <v>35</v>
      </c>
      <c r="B537" s="88" t="s">
        <v>63</v>
      </c>
      <c r="C537" s="88">
        <v>1620120220</v>
      </c>
      <c r="D537" s="86"/>
      <c r="E537" s="87" t="s">
        <v>117</v>
      </c>
      <c r="F537" s="21">
        <f>F538+F540</f>
        <v>267.60000000000002</v>
      </c>
      <c r="G537" s="21">
        <f t="shared" ref="G537:H537" si="194">G538+G540</f>
        <v>126</v>
      </c>
      <c r="H537" s="21">
        <f t="shared" si="194"/>
        <v>0</v>
      </c>
    </row>
    <row r="538" spans="1:8" ht="31.5">
      <c r="A538" s="88" t="s">
        <v>35</v>
      </c>
      <c r="B538" s="88" t="s">
        <v>63</v>
      </c>
      <c r="C538" s="88">
        <v>1620120220</v>
      </c>
      <c r="D538" s="88" t="s">
        <v>72</v>
      </c>
      <c r="E538" s="87" t="s">
        <v>102</v>
      </c>
      <c r="F538" s="21">
        <f>F539</f>
        <v>247.6</v>
      </c>
      <c r="G538" s="21">
        <f t="shared" ref="G538:H538" si="195">G539</f>
        <v>126</v>
      </c>
      <c r="H538" s="21">
        <f t="shared" si="195"/>
        <v>0</v>
      </c>
    </row>
    <row r="539" spans="1:8" ht="31.5">
      <c r="A539" s="88" t="s">
        <v>35</v>
      </c>
      <c r="B539" s="88" t="s">
        <v>63</v>
      </c>
      <c r="C539" s="88">
        <v>1620120220</v>
      </c>
      <c r="D539" s="86">
        <v>240</v>
      </c>
      <c r="E539" s="87" t="s">
        <v>315</v>
      </c>
      <c r="F539" s="21">
        <f>126-20+90+100-48.4</f>
        <v>247.6</v>
      </c>
      <c r="G539" s="21">
        <v>126</v>
      </c>
      <c r="H539" s="21">
        <v>0</v>
      </c>
    </row>
    <row r="540" spans="1:8">
      <c r="A540" s="88" t="s">
        <v>35</v>
      </c>
      <c r="B540" s="88" t="s">
        <v>63</v>
      </c>
      <c r="C540" s="88">
        <v>1620120220</v>
      </c>
      <c r="D540" s="11" t="s">
        <v>73</v>
      </c>
      <c r="E540" s="42" t="s">
        <v>74</v>
      </c>
      <c r="F540" s="21">
        <f>F541</f>
        <v>20</v>
      </c>
      <c r="G540" s="21">
        <f t="shared" ref="G540:H540" si="196">G541</f>
        <v>0</v>
      </c>
      <c r="H540" s="21">
        <f t="shared" si="196"/>
        <v>0</v>
      </c>
    </row>
    <row r="541" spans="1:8">
      <c r="A541" s="88" t="s">
        <v>35</v>
      </c>
      <c r="B541" s="88" t="s">
        <v>63</v>
      </c>
      <c r="C541" s="88">
        <v>1620120220</v>
      </c>
      <c r="D541" s="1" t="s">
        <v>366</v>
      </c>
      <c r="E541" s="69" t="s">
        <v>367</v>
      </c>
      <c r="F541" s="21">
        <v>20</v>
      </c>
      <c r="G541" s="21">
        <v>0</v>
      </c>
      <c r="H541" s="21">
        <v>0</v>
      </c>
    </row>
    <row r="542" spans="1:8">
      <c r="A542" s="88" t="s">
        <v>35</v>
      </c>
      <c r="B542" s="88" t="s">
        <v>63</v>
      </c>
      <c r="C542" s="88" t="s">
        <v>121</v>
      </c>
      <c r="D542" s="88" t="s">
        <v>69</v>
      </c>
      <c r="E542" s="87" t="s">
        <v>116</v>
      </c>
      <c r="F542" s="21">
        <f>F551+F547+F543</f>
        <v>5233.6999999999989</v>
      </c>
      <c r="G542" s="21">
        <f>G551+G547+G543</f>
        <v>4011.2</v>
      </c>
      <c r="H542" s="21">
        <f>H551+H547+H543</f>
        <v>4011.2</v>
      </c>
    </row>
    <row r="543" spans="1:8">
      <c r="A543" s="130" t="s">
        <v>35</v>
      </c>
      <c r="B543" s="130" t="s">
        <v>63</v>
      </c>
      <c r="C543" s="128">
        <v>9910000000</v>
      </c>
      <c r="D543" s="128"/>
      <c r="E543" s="129" t="s">
        <v>9</v>
      </c>
      <c r="F543" s="21">
        <f>F544</f>
        <v>407.4</v>
      </c>
      <c r="G543" s="21">
        <f t="shared" ref="G543:H545" si="197">G544</f>
        <v>0</v>
      </c>
      <c r="H543" s="21">
        <f t="shared" si="197"/>
        <v>0</v>
      </c>
    </row>
    <row r="544" spans="1:8" ht="31.5">
      <c r="A544" s="130" t="s">
        <v>35</v>
      </c>
      <c r="B544" s="130" t="s">
        <v>63</v>
      </c>
      <c r="C544" s="128">
        <v>9910020000</v>
      </c>
      <c r="D544" s="128"/>
      <c r="E544" s="129" t="s">
        <v>194</v>
      </c>
      <c r="F544" s="21">
        <f>F545</f>
        <v>407.4</v>
      </c>
      <c r="G544" s="21">
        <f t="shared" si="197"/>
        <v>0</v>
      </c>
      <c r="H544" s="21">
        <f t="shared" si="197"/>
        <v>0</v>
      </c>
    </row>
    <row r="545" spans="1:8" ht="31.5">
      <c r="A545" s="130" t="s">
        <v>35</v>
      </c>
      <c r="B545" s="130" t="s">
        <v>63</v>
      </c>
      <c r="C545" s="128">
        <v>9910020000</v>
      </c>
      <c r="D545" s="130" t="s">
        <v>72</v>
      </c>
      <c r="E545" s="129" t="s">
        <v>102</v>
      </c>
      <c r="F545" s="21">
        <f>F546</f>
        <v>407.4</v>
      </c>
      <c r="G545" s="21">
        <f t="shared" si="197"/>
        <v>0</v>
      </c>
      <c r="H545" s="21">
        <f t="shared" si="197"/>
        <v>0</v>
      </c>
    </row>
    <row r="546" spans="1:8" ht="31.5">
      <c r="A546" s="130" t="s">
        <v>35</v>
      </c>
      <c r="B546" s="130" t="s">
        <v>63</v>
      </c>
      <c r="C546" s="128">
        <v>9910020000</v>
      </c>
      <c r="D546" s="128">
        <v>240</v>
      </c>
      <c r="E546" s="129" t="s">
        <v>315</v>
      </c>
      <c r="F546" s="21">
        <v>407.4</v>
      </c>
      <c r="G546" s="21">
        <v>0</v>
      </c>
      <c r="H546" s="21">
        <v>0</v>
      </c>
    </row>
    <row r="547" spans="1:8" ht="31.5">
      <c r="A547" s="88" t="s">
        <v>35</v>
      </c>
      <c r="B547" s="86" t="s">
        <v>63</v>
      </c>
      <c r="C547" s="86">
        <v>9930000000</v>
      </c>
      <c r="D547" s="86"/>
      <c r="E547" s="66" t="s">
        <v>189</v>
      </c>
      <c r="F547" s="21">
        <f>F548</f>
        <v>61.8</v>
      </c>
      <c r="G547" s="21">
        <f t="shared" ref="G547:H549" si="198">G548</f>
        <v>0</v>
      </c>
      <c r="H547" s="21">
        <f t="shared" si="198"/>
        <v>0</v>
      </c>
    </row>
    <row r="548" spans="1:8" ht="31.5">
      <c r="A548" s="88" t="s">
        <v>35</v>
      </c>
      <c r="B548" s="86" t="s">
        <v>63</v>
      </c>
      <c r="C548" s="86">
        <v>9930020490</v>
      </c>
      <c r="D548" s="86"/>
      <c r="E548" s="66" t="s">
        <v>365</v>
      </c>
      <c r="F548" s="21">
        <f>F549</f>
        <v>61.8</v>
      </c>
      <c r="G548" s="21">
        <f t="shared" si="198"/>
        <v>0</v>
      </c>
      <c r="H548" s="21">
        <f t="shared" si="198"/>
        <v>0</v>
      </c>
    </row>
    <row r="549" spans="1:8">
      <c r="A549" s="88" t="s">
        <v>35</v>
      </c>
      <c r="B549" s="86" t="s">
        <v>63</v>
      </c>
      <c r="C549" s="86">
        <v>9930020490</v>
      </c>
      <c r="D549" s="11" t="s">
        <v>73</v>
      </c>
      <c r="E549" s="42" t="s">
        <v>74</v>
      </c>
      <c r="F549" s="21">
        <f>F550</f>
        <v>61.8</v>
      </c>
      <c r="G549" s="21">
        <f t="shared" si="198"/>
        <v>0</v>
      </c>
      <c r="H549" s="21">
        <f t="shared" si="198"/>
        <v>0</v>
      </c>
    </row>
    <row r="550" spans="1:8">
      <c r="A550" s="88" t="s">
        <v>35</v>
      </c>
      <c r="B550" s="86" t="s">
        <v>63</v>
      </c>
      <c r="C550" s="86">
        <v>9930020490</v>
      </c>
      <c r="D550" s="1" t="s">
        <v>366</v>
      </c>
      <c r="E550" s="69" t="s">
        <v>367</v>
      </c>
      <c r="F550" s="21">
        <f>47.8+14</f>
        <v>61.8</v>
      </c>
      <c r="G550" s="21">
        <v>0</v>
      </c>
      <c r="H550" s="21">
        <v>0</v>
      </c>
    </row>
    <row r="551" spans="1:8" ht="31.5">
      <c r="A551" s="88" t="s">
        <v>35</v>
      </c>
      <c r="B551" s="88" t="s">
        <v>63</v>
      </c>
      <c r="C551" s="86">
        <v>9990000000</v>
      </c>
      <c r="D551" s="86"/>
      <c r="E551" s="87" t="s">
        <v>176</v>
      </c>
      <c r="F551" s="21">
        <f>F552</f>
        <v>4764.4999999999991</v>
      </c>
      <c r="G551" s="21">
        <f t="shared" ref="G551:H553" si="199">G552</f>
        <v>4011.2</v>
      </c>
      <c r="H551" s="21">
        <f t="shared" si="199"/>
        <v>4011.2</v>
      </c>
    </row>
    <row r="552" spans="1:8" ht="31.5">
      <c r="A552" s="88" t="s">
        <v>35</v>
      </c>
      <c r="B552" s="88" t="s">
        <v>63</v>
      </c>
      <c r="C552" s="86">
        <v>9990200000</v>
      </c>
      <c r="D552" s="24"/>
      <c r="E552" s="87" t="s">
        <v>129</v>
      </c>
      <c r="F552" s="21">
        <f>F553</f>
        <v>4764.4999999999991</v>
      </c>
      <c r="G552" s="21">
        <f t="shared" si="199"/>
        <v>4011.2</v>
      </c>
      <c r="H552" s="21">
        <f t="shared" si="199"/>
        <v>4011.2</v>
      </c>
    </row>
    <row r="553" spans="1:8" ht="47.25">
      <c r="A553" s="88" t="s">
        <v>35</v>
      </c>
      <c r="B553" s="88" t="s">
        <v>63</v>
      </c>
      <c r="C553" s="86">
        <v>9990225000</v>
      </c>
      <c r="D553" s="86"/>
      <c r="E553" s="87" t="s">
        <v>130</v>
      </c>
      <c r="F553" s="21">
        <f>F554</f>
        <v>4764.4999999999991</v>
      </c>
      <c r="G553" s="21">
        <f t="shared" si="199"/>
        <v>4011.2</v>
      </c>
      <c r="H553" s="21">
        <f t="shared" si="199"/>
        <v>4011.2</v>
      </c>
    </row>
    <row r="554" spans="1:8" ht="63">
      <c r="A554" s="88" t="s">
        <v>35</v>
      </c>
      <c r="B554" s="88" t="s">
        <v>63</v>
      </c>
      <c r="C554" s="86">
        <v>9990225000</v>
      </c>
      <c r="D554" s="88" t="s">
        <v>71</v>
      </c>
      <c r="E554" s="87" t="s">
        <v>1</v>
      </c>
      <c r="F554" s="21">
        <f>F555</f>
        <v>4764.4999999999991</v>
      </c>
      <c r="G554" s="21">
        <f t="shared" ref="G554:H554" si="200">G555</f>
        <v>4011.2</v>
      </c>
      <c r="H554" s="21">
        <f t="shared" si="200"/>
        <v>4011.2</v>
      </c>
    </row>
    <row r="555" spans="1:8" ht="31.5">
      <c r="A555" s="88" t="s">
        <v>35</v>
      </c>
      <c r="B555" s="88" t="s">
        <v>63</v>
      </c>
      <c r="C555" s="86">
        <v>9990225000</v>
      </c>
      <c r="D555" s="86">
        <v>120</v>
      </c>
      <c r="E555" s="87" t="s">
        <v>319</v>
      </c>
      <c r="F555" s="21">
        <f>4011.2+327.3+4.2+373.4+48.4</f>
        <v>4764.4999999999991</v>
      </c>
      <c r="G555" s="21">
        <v>4011.2</v>
      </c>
      <c r="H555" s="21">
        <v>4011.2</v>
      </c>
    </row>
    <row r="556" spans="1:8">
      <c r="A556" s="88" t="s">
        <v>35</v>
      </c>
      <c r="B556" s="88" t="s">
        <v>59</v>
      </c>
      <c r="C556" s="88" t="s">
        <v>69</v>
      </c>
      <c r="D556" s="88" t="s">
        <v>69</v>
      </c>
      <c r="E556" s="87" t="s">
        <v>27</v>
      </c>
      <c r="F556" s="21">
        <f t="shared" ref="F556:H562" si="201">F557</f>
        <v>110</v>
      </c>
      <c r="G556" s="21">
        <f t="shared" si="201"/>
        <v>300</v>
      </c>
      <c r="H556" s="21">
        <f t="shared" si="201"/>
        <v>0</v>
      </c>
    </row>
    <row r="557" spans="1:8">
      <c r="A557" s="88" t="s">
        <v>35</v>
      </c>
      <c r="B557" s="88" t="s">
        <v>51</v>
      </c>
      <c r="C557" s="88" t="s">
        <v>69</v>
      </c>
      <c r="D557" s="88" t="s">
        <v>69</v>
      </c>
      <c r="E557" s="87" t="s">
        <v>28</v>
      </c>
      <c r="F557" s="21">
        <f t="shared" si="201"/>
        <v>110</v>
      </c>
      <c r="G557" s="21">
        <f t="shared" si="201"/>
        <v>300</v>
      </c>
      <c r="H557" s="21">
        <f t="shared" si="201"/>
        <v>0</v>
      </c>
    </row>
    <row r="558" spans="1:8" ht="47.25">
      <c r="A558" s="88" t="s">
        <v>35</v>
      </c>
      <c r="B558" s="88" t="s">
        <v>51</v>
      </c>
      <c r="C558" s="88">
        <v>1600000000</v>
      </c>
      <c r="D558" s="88"/>
      <c r="E558" s="87" t="s">
        <v>125</v>
      </c>
      <c r="F558" s="21">
        <f t="shared" si="201"/>
        <v>110</v>
      </c>
      <c r="G558" s="21">
        <f t="shared" si="201"/>
        <v>300</v>
      </c>
      <c r="H558" s="21">
        <f t="shared" si="201"/>
        <v>0</v>
      </c>
    </row>
    <row r="559" spans="1:8" ht="31.5">
      <c r="A559" s="88" t="s">
        <v>35</v>
      </c>
      <c r="B559" s="88" t="s">
        <v>51</v>
      </c>
      <c r="C559" s="88">
        <v>1620000000</v>
      </c>
      <c r="D559" s="88"/>
      <c r="E559" s="87" t="s">
        <v>118</v>
      </c>
      <c r="F559" s="21">
        <f t="shared" si="201"/>
        <v>110</v>
      </c>
      <c r="G559" s="21">
        <f t="shared" si="201"/>
        <v>300</v>
      </c>
      <c r="H559" s="21">
        <f t="shared" si="201"/>
        <v>0</v>
      </c>
    </row>
    <row r="560" spans="1:8">
      <c r="A560" s="88" t="s">
        <v>35</v>
      </c>
      <c r="B560" s="88" t="s">
        <v>51</v>
      </c>
      <c r="C560" s="88">
        <v>1620100000</v>
      </c>
      <c r="D560" s="88"/>
      <c r="E560" s="87" t="s">
        <v>119</v>
      </c>
      <c r="F560" s="21">
        <f t="shared" si="201"/>
        <v>110</v>
      </c>
      <c r="G560" s="21">
        <f t="shared" si="201"/>
        <v>300</v>
      </c>
      <c r="H560" s="21">
        <f t="shared" si="201"/>
        <v>0</v>
      </c>
    </row>
    <row r="561" spans="1:8" ht="31.5">
      <c r="A561" s="88" t="s">
        <v>35</v>
      </c>
      <c r="B561" s="88" t="s">
        <v>51</v>
      </c>
      <c r="C561" s="88">
        <v>1620120240</v>
      </c>
      <c r="D561" s="88"/>
      <c r="E561" s="87" t="s">
        <v>122</v>
      </c>
      <c r="F561" s="21">
        <f t="shared" si="201"/>
        <v>110</v>
      </c>
      <c r="G561" s="21">
        <f t="shared" si="201"/>
        <v>300</v>
      </c>
      <c r="H561" s="21">
        <f t="shared" si="201"/>
        <v>0</v>
      </c>
    </row>
    <row r="562" spans="1:8" ht="31.5">
      <c r="A562" s="88" t="s">
        <v>35</v>
      </c>
      <c r="B562" s="88" t="s">
        <v>51</v>
      </c>
      <c r="C562" s="88">
        <v>1620120240</v>
      </c>
      <c r="D562" s="88" t="s">
        <v>72</v>
      </c>
      <c r="E562" s="87" t="s">
        <v>102</v>
      </c>
      <c r="F562" s="21">
        <f t="shared" si="201"/>
        <v>110</v>
      </c>
      <c r="G562" s="21">
        <f t="shared" si="201"/>
        <v>300</v>
      </c>
      <c r="H562" s="21">
        <f t="shared" si="201"/>
        <v>0</v>
      </c>
    </row>
    <row r="563" spans="1:8" ht="31.5">
      <c r="A563" s="88" t="s">
        <v>35</v>
      </c>
      <c r="B563" s="88" t="s">
        <v>51</v>
      </c>
      <c r="C563" s="88">
        <v>1620120240</v>
      </c>
      <c r="D563" s="86">
        <v>240</v>
      </c>
      <c r="E563" s="87" t="s">
        <v>315</v>
      </c>
      <c r="F563" s="21">
        <f>300-90-100</f>
        <v>110</v>
      </c>
      <c r="G563" s="21">
        <v>300</v>
      </c>
      <c r="H563" s="21">
        <v>0</v>
      </c>
    </row>
    <row r="564" spans="1:8">
      <c r="A564" s="88" t="s">
        <v>35</v>
      </c>
      <c r="B564" s="88" t="s">
        <v>60</v>
      </c>
      <c r="C564" s="88" t="s">
        <v>69</v>
      </c>
      <c r="D564" s="88" t="s">
        <v>69</v>
      </c>
      <c r="E564" s="87" t="s">
        <v>29</v>
      </c>
      <c r="F564" s="21">
        <f t="shared" ref="F564:H570" si="202">F565</f>
        <v>1715.7</v>
      </c>
      <c r="G564" s="21">
        <f t="shared" si="202"/>
        <v>1715.7</v>
      </c>
      <c r="H564" s="21">
        <f t="shared" si="202"/>
        <v>1715.7</v>
      </c>
    </row>
    <row r="565" spans="1:8">
      <c r="A565" s="88" t="s">
        <v>35</v>
      </c>
      <c r="B565" s="88" t="s">
        <v>5</v>
      </c>
      <c r="C565" s="88" t="s">
        <v>69</v>
      </c>
      <c r="D565" s="88" t="s">
        <v>69</v>
      </c>
      <c r="E565" s="87" t="s">
        <v>6</v>
      </c>
      <c r="F565" s="21">
        <f t="shared" si="202"/>
        <v>1715.7</v>
      </c>
      <c r="G565" s="21">
        <f t="shared" si="202"/>
        <v>1715.7</v>
      </c>
      <c r="H565" s="21">
        <f t="shared" si="202"/>
        <v>1715.7</v>
      </c>
    </row>
    <row r="566" spans="1:8" ht="47.25">
      <c r="A566" s="88" t="s">
        <v>35</v>
      </c>
      <c r="B566" s="88" t="s">
        <v>5</v>
      </c>
      <c r="C566" s="88">
        <v>1600000000</v>
      </c>
      <c r="D566" s="88"/>
      <c r="E566" s="87" t="s">
        <v>125</v>
      </c>
      <c r="F566" s="21">
        <f t="shared" si="202"/>
        <v>1715.7</v>
      </c>
      <c r="G566" s="21">
        <f t="shared" si="202"/>
        <v>1715.7</v>
      </c>
      <c r="H566" s="21">
        <f t="shared" si="202"/>
        <v>1715.7</v>
      </c>
    </row>
    <row r="567" spans="1:8" ht="31.5">
      <c r="A567" s="88" t="s">
        <v>35</v>
      </c>
      <c r="B567" s="88" t="s">
        <v>5</v>
      </c>
      <c r="C567" s="88">
        <v>1620000000</v>
      </c>
      <c r="D567" s="88"/>
      <c r="E567" s="87" t="s">
        <v>118</v>
      </c>
      <c r="F567" s="21">
        <f t="shared" si="202"/>
        <v>1715.7</v>
      </c>
      <c r="G567" s="21">
        <f t="shared" si="202"/>
        <v>1715.7</v>
      </c>
      <c r="H567" s="21">
        <f t="shared" si="202"/>
        <v>1715.7</v>
      </c>
    </row>
    <row r="568" spans="1:8">
      <c r="A568" s="88" t="s">
        <v>35</v>
      </c>
      <c r="B568" s="88" t="s">
        <v>5</v>
      </c>
      <c r="C568" s="88">
        <v>1620100000</v>
      </c>
      <c r="D568" s="88"/>
      <c r="E568" s="87" t="s">
        <v>119</v>
      </c>
      <c r="F568" s="21">
        <f t="shared" si="202"/>
        <v>1715.7</v>
      </c>
      <c r="G568" s="21">
        <f t="shared" si="202"/>
        <v>1715.7</v>
      </c>
      <c r="H568" s="21">
        <f t="shared" si="202"/>
        <v>1715.7</v>
      </c>
    </row>
    <row r="569" spans="1:8" ht="47.25">
      <c r="A569" s="88" t="s">
        <v>35</v>
      </c>
      <c r="B569" s="88" t="s">
        <v>5</v>
      </c>
      <c r="C569" s="88">
        <v>1620120230</v>
      </c>
      <c r="D569" s="88"/>
      <c r="E569" s="87" t="s">
        <v>124</v>
      </c>
      <c r="F569" s="21">
        <f t="shared" si="202"/>
        <v>1715.7</v>
      </c>
      <c r="G569" s="21">
        <f t="shared" si="202"/>
        <v>1715.7</v>
      </c>
      <c r="H569" s="21">
        <f t="shared" si="202"/>
        <v>1715.7</v>
      </c>
    </row>
    <row r="570" spans="1:8" ht="31.5">
      <c r="A570" s="88" t="s">
        <v>35</v>
      </c>
      <c r="B570" s="88" t="s">
        <v>5</v>
      </c>
      <c r="C570" s="88">
        <v>1620120230</v>
      </c>
      <c r="D570" s="88" t="s">
        <v>72</v>
      </c>
      <c r="E570" s="87" t="s">
        <v>102</v>
      </c>
      <c r="F570" s="21">
        <f t="shared" si="202"/>
        <v>1715.7</v>
      </c>
      <c r="G570" s="21">
        <f t="shared" si="202"/>
        <v>1715.7</v>
      </c>
      <c r="H570" s="21">
        <f t="shared" si="202"/>
        <v>1715.7</v>
      </c>
    </row>
    <row r="571" spans="1:8" ht="31.5">
      <c r="A571" s="88" t="s">
        <v>35</v>
      </c>
      <c r="B571" s="88" t="s">
        <v>5</v>
      </c>
      <c r="C571" s="88">
        <v>1620120230</v>
      </c>
      <c r="D571" s="86">
        <v>240</v>
      </c>
      <c r="E571" s="87" t="s">
        <v>315</v>
      </c>
      <c r="F571" s="21">
        <v>1715.7</v>
      </c>
      <c r="G571" s="21">
        <v>1715.7</v>
      </c>
      <c r="H571" s="21">
        <v>1715.7</v>
      </c>
    </row>
    <row r="572" spans="1:8">
      <c r="A572" s="88" t="s">
        <v>35</v>
      </c>
      <c r="B572" s="88" t="s">
        <v>41</v>
      </c>
      <c r="C572" s="88" t="s">
        <v>69</v>
      </c>
      <c r="D572" s="88" t="s">
        <v>69</v>
      </c>
      <c r="E572" s="87" t="s">
        <v>33</v>
      </c>
      <c r="F572" s="21">
        <f>F573</f>
        <v>5872.6999999999989</v>
      </c>
      <c r="G572" s="21">
        <f t="shared" ref="G572:H572" si="203">G573</f>
        <v>7830.1</v>
      </c>
      <c r="H572" s="21">
        <f t="shared" si="203"/>
        <v>12723.9</v>
      </c>
    </row>
    <row r="573" spans="1:8">
      <c r="A573" s="88" t="s">
        <v>35</v>
      </c>
      <c r="B573" s="88" t="s">
        <v>88</v>
      </c>
      <c r="C573" s="88" t="s">
        <v>69</v>
      </c>
      <c r="D573" s="88" t="s">
        <v>69</v>
      </c>
      <c r="E573" s="87" t="s">
        <v>89</v>
      </c>
      <c r="F573" s="21">
        <f t="shared" ref="F573:H575" si="204">F574</f>
        <v>5872.6999999999989</v>
      </c>
      <c r="G573" s="21">
        <f t="shared" si="204"/>
        <v>7830.1</v>
      </c>
      <c r="H573" s="21">
        <f t="shared" si="204"/>
        <v>12723.9</v>
      </c>
    </row>
    <row r="574" spans="1:8" ht="47.25">
      <c r="A574" s="88" t="s">
        <v>35</v>
      </c>
      <c r="B574" s="88" t="s">
        <v>88</v>
      </c>
      <c r="C574" s="88">
        <v>1600000000</v>
      </c>
      <c r="D574" s="88"/>
      <c r="E574" s="87" t="s">
        <v>125</v>
      </c>
      <c r="F574" s="21">
        <f t="shared" si="204"/>
        <v>5872.6999999999989</v>
      </c>
      <c r="G574" s="21">
        <f t="shared" si="204"/>
        <v>7830.1</v>
      </c>
      <c r="H574" s="21">
        <f t="shared" si="204"/>
        <v>12723.9</v>
      </c>
    </row>
    <row r="575" spans="1:8" ht="31.5">
      <c r="A575" s="88" t="s">
        <v>35</v>
      </c>
      <c r="B575" s="88" t="s">
        <v>88</v>
      </c>
      <c r="C575" s="88">
        <v>1620000000</v>
      </c>
      <c r="D575" s="88"/>
      <c r="E575" s="87" t="s">
        <v>118</v>
      </c>
      <c r="F575" s="21">
        <f t="shared" si="204"/>
        <v>5872.6999999999989</v>
      </c>
      <c r="G575" s="21">
        <f t="shared" si="204"/>
        <v>7830.1</v>
      </c>
      <c r="H575" s="21">
        <f t="shared" si="204"/>
        <v>12723.9</v>
      </c>
    </row>
    <row r="576" spans="1:8" ht="13.5" customHeight="1">
      <c r="A576" s="88" t="s">
        <v>35</v>
      </c>
      <c r="B576" s="88" t="s">
        <v>88</v>
      </c>
      <c r="C576" s="88">
        <v>1620200000</v>
      </c>
      <c r="D576" s="88"/>
      <c r="E576" s="87" t="s">
        <v>123</v>
      </c>
      <c r="F576" s="21">
        <f>F577+F580</f>
        <v>5872.6999999999989</v>
      </c>
      <c r="G576" s="21">
        <f t="shared" ref="G576:H576" si="205">G577+G580</f>
        <v>7830.1</v>
      </c>
      <c r="H576" s="21">
        <f t="shared" si="205"/>
        <v>12723.9</v>
      </c>
    </row>
    <row r="577" spans="1:8" ht="63">
      <c r="A577" s="88" t="s">
        <v>35</v>
      </c>
      <c r="B577" s="88" t="s">
        <v>88</v>
      </c>
      <c r="C577" s="88">
        <v>1620210820</v>
      </c>
      <c r="D577" s="88"/>
      <c r="E577" s="87" t="s">
        <v>280</v>
      </c>
      <c r="F577" s="21">
        <f>F578</f>
        <v>3915.0999999999995</v>
      </c>
      <c r="G577" s="21">
        <f t="shared" ref="G577:H578" si="206">G578</f>
        <v>7830.1</v>
      </c>
      <c r="H577" s="21">
        <f t="shared" si="206"/>
        <v>12723.9</v>
      </c>
    </row>
    <row r="578" spans="1:8" ht="31.5">
      <c r="A578" s="88" t="s">
        <v>35</v>
      </c>
      <c r="B578" s="88" t="s">
        <v>88</v>
      </c>
      <c r="C578" s="88">
        <v>1620210820</v>
      </c>
      <c r="D578" s="88" t="s">
        <v>75</v>
      </c>
      <c r="E578" s="87" t="s">
        <v>103</v>
      </c>
      <c r="F578" s="21">
        <f>F579</f>
        <v>3915.0999999999995</v>
      </c>
      <c r="G578" s="21">
        <f t="shared" si="206"/>
        <v>7830.1</v>
      </c>
      <c r="H578" s="21">
        <f t="shared" si="206"/>
        <v>12723.9</v>
      </c>
    </row>
    <row r="579" spans="1:8">
      <c r="A579" s="88" t="s">
        <v>35</v>
      </c>
      <c r="B579" s="88" t="s">
        <v>88</v>
      </c>
      <c r="C579" s="88">
        <v>1620210820</v>
      </c>
      <c r="D579" s="88" t="s">
        <v>131</v>
      </c>
      <c r="E579" s="87" t="s">
        <v>132</v>
      </c>
      <c r="F579" s="21">
        <f>6851.4-2936.3</f>
        <v>3915.0999999999995</v>
      </c>
      <c r="G579" s="21">
        <v>7830.1</v>
      </c>
      <c r="H579" s="21">
        <v>12723.9</v>
      </c>
    </row>
    <row r="580" spans="1:8" ht="47.25">
      <c r="A580" s="88" t="s">
        <v>35</v>
      </c>
      <c r="B580" s="88" t="s">
        <v>88</v>
      </c>
      <c r="C580" s="88" t="s">
        <v>343</v>
      </c>
      <c r="D580" s="88"/>
      <c r="E580" s="66" t="s">
        <v>344</v>
      </c>
      <c r="F580" s="21">
        <f>F581</f>
        <v>1957.6</v>
      </c>
      <c r="G580" s="21">
        <f t="shared" ref="G580:H581" si="207">G581</f>
        <v>0</v>
      </c>
      <c r="H580" s="21">
        <f t="shared" si="207"/>
        <v>0</v>
      </c>
    </row>
    <row r="581" spans="1:8" ht="31.5">
      <c r="A581" s="88" t="s">
        <v>35</v>
      </c>
      <c r="B581" s="88" t="s">
        <v>88</v>
      </c>
      <c r="C581" s="88" t="s">
        <v>343</v>
      </c>
      <c r="D581" s="88" t="s">
        <v>75</v>
      </c>
      <c r="E581" s="66" t="s">
        <v>103</v>
      </c>
      <c r="F581" s="21">
        <f>F582</f>
        <v>1957.6</v>
      </c>
      <c r="G581" s="21">
        <f t="shared" si="207"/>
        <v>0</v>
      </c>
      <c r="H581" s="21">
        <f t="shared" si="207"/>
        <v>0</v>
      </c>
    </row>
    <row r="582" spans="1:8">
      <c r="A582" s="88" t="s">
        <v>35</v>
      </c>
      <c r="B582" s="88" t="s">
        <v>88</v>
      </c>
      <c r="C582" s="88" t="s">
        <v>343</v>
      </c>
      <c r="D582" s="88" t="s">
        <v>131</v>
      </c>
      <c r="E582" s="66" t="s">
        <v>132</v>
      </c>
      <c r="F582" s="21">
        <v>1957.6</v>
      </c>
      <c r="G582" s="21">
        <v>0</v>
      </c>
      <c r="H582" s="21">
        <v>0</v>
      </c>
    </row>
    <row r="583" spans="1:8">
      <c r="A583" s="15" t="s">
        <v>15</v>
      </c>
      <c r="B583" s="24" t="s">
        <v>69</v>
      </c>
      <c r="C583" s="24" t="s">
        <v>69</v>
      </c>
      <c r="D583" s="24" t="s">
        <v>69</v>
      </c>
      <c r="E583" s="55" t="s">
        <v>2</v>
      </c>
      <c r="F583" s="25">
        <f>F584</f>
        <v>3501</v>
      </c>
      <c r="G583" s="25">
        <f t="shared" ref="G583:H587" si="208">G584</f>
        <v>4134</v>
      </c>
      <c r="H583" s="25">
        <f t="shared" si="208"/>
        <v>4134</v>
      </c>
    </row>
    <row r="584" spans="1:8">
      <c r="A584" s="86" t="s">
        <v>15</v>
      </c>
      <c r="B584" s="86" t="s">
        <v>57</v>
      </c>
      <c r="C584" s="86" t="s">
        <v>69</v>
      </c>
      <c r="D584" s="86" t="s">
        <v>69</v>
      </c>
      <c r="E584" s="56" t="s">
        <v>22</v>
      </c>
      <c r="F584" s="21">
        <f>F585</f>
        <v>3501</v>
      </c>
      <c r="G584" s="21">
        <f t="shared" si="208"/>
        <v>4134</v>
      </c>
      <c r="H584" s="21">
        <f t="shared" si="208"/>
        <v>4134</v>
      </c>
    </row>
    <row r="585" spans="1:8" ht="47.25">
      <c r="A585" s="86" t="s">
        <v>15</v>
      </c>
      <c r="B585" s="86" t="s">
        <v>46</v>
      </c>
      <c r="C585" s="86" t="s">
        <v>69</v>
      </c>
      <c r="D585" s="86" t="s">
        <v>69</v>
      </c>
      <c r="E585" s="87" t="s">
        <v>23</v>
      </c>
      <c r="F585" s="21">
        <f>F586</f>
        <v>3501</v>
      </c>
      <c r="G585" s="21">
        <f t="shared" si="208"/>
        <v>4134</v>
      </c>
      <c r="H585" s="21">
        <f t="shared" si="208"/>
        <v>4134</v>
      </c>
    </row>
    <row r="586" spans="1:8">
      <c r="A586" s="86" t="s">
        <v>15</v>
      </c>
      <c r="B586" s="86" t="s">
        <v>46</v>
      </c>
      <c r="C586" s="88" t="s">
        <v>121</v>
      </c>
      <c r="D586" s="88" t="s">
        <v>69</v>
      </c>
      <c r="E586" s="87" t="s">
        <v>116</v>
      </c>
      <c r="F586" s="21">
        <f>F587</f>
        <v>3501</v>
      </c>
      <c r="G586" s="21">
        <f t="shared" si="208"/>
        <v>4134</v>
      </c>
      <c r="H586" s="21">
        <f t="shared" si="208"/>
        <v>4134</v>
      </c>
    </row>
    <row r="587" spans="1:8" ht="31.5">
      <c r="A587" s="86" t="s">
        <v>15</v>
      </c>
      <c r="B587" s="86" t="s">
        <v>46</v>
      </c>
      <c r="C587" s="86">
        <v>9990000000</v>
      </c>
      <c r="D587" s="86"/>
      <c r="E587" s="87" t="s">
        <v>176</v>
      </c>
      <c r="F587" s="21">
        <f>F588</f>
        <v>3501</v>
      </c>
      <c r="G587" s="21">
        <f t="shared" si="208"/>
        <v>4134</v>
      </c>
      <c r="H587" s="21">
        <f t="shared" si="208"/>
        <v>4134</v>
      </c>
    </row>
    <row r="588" spans="1:8" ht="31.5">
      <c r="A588" s="86" t="s">
        <v>15</v>
      </c>
      <c r="B588" s="86" t="s">
        <v>46</v>
      </c>
      <c r="C588" s="86">
        <v>9990100000</v>
      </c>
      <c r="D588" s="86"/>
      <c r="E588" s="87" t="s">
        <v>197</v>
      </c>
      <c r="F588" s="21">
        <f>F589+F592</f>
        <v>3501</v>
      </c>
      <c r="G588" s="21">
        <f t="shared" ref="G588:H588" si="209">G589+G592</f>
        <v>4134</v>
      </c>
      <c r="H588" s="21">
        <f t="shared" si="209"/>
        <v>4134</v>
      </c>
    </row>
    <row r="589" spans="1:8">
      <c r="A589" s="86" t="s">
        <v>15</v>
      </c>
      <c r="B589" s="86" t="s">
        <v>46</v>
      </c>
      <c r="C589" s="86">
        <v>9990122000</v>
      </c>
      <c r="D589" s="86"/>
      <c r="E589" s="87" t="s">
        <v>198</v>
      </c>
      <c r="F589" s="21">
        <f>F590</f>
        <v>0</v>
      </c>
      <c r="G589" s="21">
        <f t="shared" ref="G589:H590" si="210">G590</f>
        <v>1208.5999999999999</v>
      </c>
      <c r="H589" s="21">
        <f t="shared" si="210"/>
        <v>1208.5999999999999</v>
      </c>
    </row>
    <row r="590" spans="1:8" ht="63">
      <c r="A590" s="86" t="s">
        <v>15</v>
      </c>
      <c r="B590" s="86" t="s">
        <v>46</v>
      </c>
      <c r="C590" s="86">
        <v>9990122000</v>
      </c>
      <c r="D590" s="88" t="s">
        <v>71</v>
      </c>
      <c r="E590" s="87" t="s">
        <v>1</v>
      </c>
      <c r="F590" s="21">
        <f>F591</f>
        <v>0</v>
      </c>
      <c r="G590" s="21">
        <f t="shared" si="210"/>
        <v>1208.5999999999999</v>
      </c>
      <c r="H590" s="21">
        <f t="shared" si="210"/>
        <v>1208.5999999999999</v>
      </c>
    </row>
    <row r="591" spans="1:8" ht="31.5">
      <c r="A591" s="86" t="s">
        <v>15</v>
      </c>
      <c r="B591" s="86" t="s">
        <v>46</v>
      </c>
      <c r="C591" s="86">
        <v>9990122000</v>
      </c>
      <c r="D591" s="86">
        <v>120</v>
      </c>
      <c r="E591" s="87" t="s">
        <v>319</v>
      </c>
      <c r="F591" s="21">
        <f>1208.6+109.6-400-918.2</f>
        <v>0</v>
      </c>
      <c r="G591" s="21">
        <v>1208.5999999999999</v>
      </c>
      <c r="H591" s="21">
        <v>1208.5999999999999</v>
      </c>
    </row>
    <row r="592" spans="1:8" ht="31.5">
      <c r="A592" s="86" t="s">
        <v>15</v>
      </c>
      <c r="B592" s="86" t="s">
        <v>46</v>
      </c>
      <c r="C592" s="86">
        <v>9990123000</v>
      </c>
      <c r="D592" s="86"/>
      <c r="E592" s="87" t="s">
        <v>199</v>
      </c>
      <c r="F592" s="21">
        <f>F593+F595+F597</f>
        <v>3501</v>
      </c>
      <c r="G592" s="21">
        <f t="shared" ref="G592:H592" si="211">G593+G595+G597</f>
        <v>2925.3999999999996</v>
      </c>
      <c r="H592" s="21">
        <f t="shared" si="211"/>
        <v>2925.3999999999996</v>
      </c>
    </row>
    <row r="593" spans="1:8" ht="63">
      <c r="A593" s="86" t="s">
        <v>15</v>
      </c>
      <c r="B593" s="86" t="s">
        <v>46</v>
      </c>
      <c r="C593" s="86">
        <v>9990123000</v>
      </c>
      <c r="D593" s="86" t="s">
        <v>71</v>
      </c>
      <c r="E593" s="87" t="s">
        <v>1</v>
      </c>
      <c r="F593" s="21">
        <f>F594</f>
        <v>2399</v>
      </c>
      <c r="G593" s="21">
        <f t="shared" ref="G593:H593" si="212">G594</f>
        <v>2394</v>
      </c>
      <c r="H593" s="21">
        <f t="shared" si="212"/>
        <v>2394</v>
      </c>
    </row>
    <row r="594" spans="1:8" ht="31.5">
      <c r="A594" s="86" t="s">
        <v>15</v>
      </c>
      <c r="B594" s="86" t="s">
        <v>46</v>
      </c>
      <c r="C594" s="86">
        <v>9990123000</v>
      </c>
      <c r="D594" s="86">
        <v>120</v>
      </c>
      <c r="E594" s="87" t="s">
        <v>319</v>
      </c>
      <c r="F594" s="21">
        <f>2394+176.7+4.9-176.6</f>
        <v>2399</v>
      </c>
      <c r="G594" s="21">
        <v>2394</v>
      </c>
      <c r="H594" s="21">
        <v>2394</v>
      </c>
    </row>
    <row r="595" spans="1:8" ht="31.5">
      <c r="A595" s="86" t="s">
        <v>15</v>
      </c>
      <c r="B595" s="86" t="s">
        <v>46</v>
      </c>
      <c r="C595" s="86">
        <v>9990123000</v>
      </c>
      <c r="D595" s="88" t="s">
        <v>72</v>
      </c>
      <c r="E595" s="87" t="s">
        <v>102</v>
      </c>
      <c r="F595" s="21">
        <f>F596</f>
        <v>1102</v>
      </c>
      <c r="G595" s="21">
        <f t="shared" ref="G595:H595" si="213">G596</f>
        <v>529.20000000000005</v>
      </c>
      <c r="H595" s="21">
        <f t="shared" si="213"/>
        <v>529.20000000000005</v>
      </c>
    </row>
    <row r="596" spans="1:8" ht="31.5">
      <c r="A596" s="86" t="s">
        <v>15</v>
      </c>
      <c r="B596" s="86" t="s">
        <v>46</v>
      </c>
      <c r="C596" s="86">
        <v>9990123000</v>
      </c>
      <c r="D596" s="86">
        <v>240</v>
      </c>
      <c r="E596" s="87" t="s">
        <v>315</v>
      </c>
      <c r="F596" s="21">
        <f>529.2+400+172.8</f>
        <v>1102</v>
      </c>
      <c r="G596" s="21">
        <f>529.2</f>
        <v>529.20000000000005</v>
      </c>
      <c r="H596" s="21">
        <v>529.20000000000005</v>
      </c>
    </row>
    <row r="597" spans="1:8">
      <c r="A597" s="86" t="s">
        <v>15</v>
      </c>
      <c r="B597" s="86" t="s">
        <v>46</v>
      </c>
      <c r="C597" s="86">
        <v>9990123000</v>
      </c>
      <c r="D597" s="86" t="s">
        <v>73</v>
      </c>
      <c r="E597" s="87" t="s">
        <v>74</v>
      </c>
      <c r="F597" s="21">
        <f>F598</f>
        <v>0</v>
      </c>
      <c r="G597" s="21">
        <f t="shared" ref="G597:H597" si="214">G598</f>
        <v>2.2000000000000002</v>
      </c>
      <c r="H597" s="21">
        <f t="shared" si="214"/>
        <v>2.2000000000000002</v>
      </c>
    </row>
    <row r="598" spans="1:8">
      <c r="A598" s="86" t="s">
        <v>15</v>
      </c>
      <c r="B598" s="86" t="s">
        <v>46</v>
      </c>
      <c r="C598" s="86">
        <v>9990123000</v>
      </c>
      <c r="D598" s="86">
        <v>850</v>
      </c>
      <c r="E598" s="87" t="s">
        <v>111</v>
      </c>
      <c r="F598" s="21">
        <f>2.2-2.2</f>
        <v>0</v>
      </c>
      <c r="G598" s="21">
        <v>2.2000000000000002</v>
      </c>
      <c r="H598" s="21">
        <v>2.2000000000000002</v>
      </c>
    </row>
    <row r="599" spans="1:8" ht="31.5">
      <c r="A599" s="15" t="s">
        <v>10</v>
      </c>
      <c r="B599" s="24" t="s">
        <v>69</v>
      </c>
      <c r="C599" s="24" t="s">
        <v>69</v>
      </c>
      <c r="D599" s="24" t="s">
        <v>69</v>
      </c>
      <c r="E599" s="40" t="s">
        <v>273</v>
      </c>
      <c r="F599" s="25">
        <f>F608+F616+F777+F600</f>
        <v>499445.3000000001</v>
      </c>
      <c r="G599" s="25">
        <f>G608+G616+G777+G600</f>
        <v>428596.9</v>
      </c>
      <c r="H599" s="25">
        <f>H608+H616+H777+H600</f>
        <v>427860.5</v>
      </c>
    </row>
    <row r="600" spans="1:8">
      <c r="A600" s="86" t="s">
        <v>10</v>
      </c>
      <c r="B600" s="86" t="s">
        <v>57</v>
      </c>
      <c r="C600" s="86" t="s">
        <v>69</v>
      </c>
      <c r="D600" s="86" t="s">
        <v>69</v>
      </c>
      <c r="E600" s="56" t="s">
        <v>22</v>
      </c>
      <c r="F600" s="21">
        <f t="shared" ref="F600:F606" si="215">F601</f>
        <v>5.8999999999999995</v>
      </c>
      <c r="G600" s="21">
        <f t="shared" ref="G600:H606" si="216">G601</f>
        <v>0</v>
      </c>
      <c r="H600" s="21">
        <f t="shared" si="216"/>
        <v>0</v>
      </c>
    </row>
    <row r="601" spans="1:8">
      <c r="A601" s="86" t="s">
        <v>10</v>
      </c>
      <c r="B601" s="86" t="s">
        <v>63</v>
      </c>
      <c r="C601" s="86"/>
      <c r="D601" s="86"/>
      <c r="E601" s="87" t="s">
        <v>25</v>
      </c>
      <c r="F601" s="21">
        <f t="shared" si="215"/>
        <v>5.8999999999999995</v>
      </c>
      <c r="G601" s="21">
        <f t="shared" si="216"/>
        <v>0</v>
      </c>
      <c r="H601" s="21">
        <f t="shared" si="216"/>
        <v>0</v>
      </c>
    </row>
    <row r="602" spans="1:8" ht="47.25">
      <c r="A602" s="86" t="s">
        <v>10</v>
      </c>
      <c r="B602" s="88" t="s">
        <v>63</v>
      </c>
      <c r="C602" s="88">
        <v>1600000000</v>
      </c>
      <c r="D602" s="88"/>
      <c r="E602" s="87" t="s">
        <v>125</v>
      </c>
      <c r="F602" s="21">
        <f t="shared" si="215"/>
        <v>5.8999999999999995</v>
      </c>
      <c r="G602" s="21">
        <f t="shared" si="216"/>
        <v>0</v>
      </c>
      <c r="H602" s="21">
        <f t="shared" si="216"/>
        <v>0</v>
      </c>
    </row>
    <row r="603" spans="1:8" ht="47.25">
      <c r="A603" s="86" t="s">
        <v>10</v>
      </c>
      <c r="B603" s="86" t="s">
        <v>63</v>
      </c>
      <c r="C603" s="88">
        <v>1630000000</v>
      </c>
      <c r="D603" s="86"/>
      <c r="E603" s="87" t="s">
        <v>258</v>
      </c>
      <c r="F603" s="21">
        <f t="shared" si="215"/>
        <v>5.8999999999999995</v>
      </c>
      <c r="G603" s="21">
        <f t="shared" si="216"/>
        <v>0</v>
      </c>
      <c r="H603" s="21">
        <f t="shared" si="216"/>
        <v>0</v>
      </c>
    </row>
    <row r="604" spans="1:8" ht="47.25">
      <c r="A604" s="2" t="s">
        <v>10</v>
      </c>
      <c r="B604" s="86" t="s">
        <v>63</v>
      </c>
      <c r="C604" s="86">
        <v>1630200000</v>
      </c>
      <c r="D604" s="86"/>
      <c r="E604" s="87" t="s">
        <v>261</v>
      </c>
      <c r="F604" s="21">
        <f t="shared" si="215"/>
        <v>5.8999999999999995</v>
      </c>
      <c r="G604" s="21">
        <f t="shared" si="216"/>
        <v>0</v>
      </c>
      <c r="H604" s="21">
        <f t="shared" si="216"/>
        <v>0</v>
      </c>
    </row>
    <row r="605" spans="1:8" ht="15.75" customHeight="1">
      <c r="A605" s="86" t="s">
        <v>10</v>
      </c>
      <c r="B605" s="88" t="s">
        <v>63</v>
      </c>
      <c r="C605" s="86">
        <v>1630220530</v>
      </c>
      <c r="D605" s="86"/>
      <c r="E605" s="87" t="s">
        <v>262</v>
      </c>
      <c r="F605" s="21">
        <f t="shared" si="215"/>
        <v>5.8999999999999995</v>
      </c>
      <c r="G605" s="21">
        <f t="shared" si="216"/>
        <v>0</v>
      </c>
      <c r="H605" s="21">
        <f t="shared" si="216"/>
        <v>0</v>
      </c>
    </row>
    <row r="606" spans="1:8" ht="31.5">
      <c r="A606" s="86" t="s">
        <v>10</v>
      </c>
      <c r="B606" s="88" t="s">
        <v>63</v>
      </c>
      <c r="C606" s="86">
        <v>1630220530</v>
      </c>
      <c r="D606" s="86" t="s">
        <v>72</v>
      </c>
      <c r="E606" s="87" t="s">
        <v>102</v>
      </c>
      <c r="F606" s="21">
        <f t="shared" si="215"/>
        <v>5.8999999999999995</v>
      </c>
      <c r="G606" s="21">
        <f t="shared" si="216"/>
        <v>0</v>
      </c>
      <c r="H606" s="21">
        <f t="shared" si="216"/>
        <v>0</v>
      </c>
    </row>
    <row r="607" spans="1:8" ht="31.5">
      <c r="A607" s="86" t="s">
        <v>10</v>
      </c>
      <c r="B607" s="86" t="s">
        <v>63</v>
      </c>
      <c r="C607" s="86">
        <v>1630220530</v>
      </c>
      <c r="D607" s="86">
        <v>240</v>
      </c>
      <c r="E607" s="87" t="s">
        <v>315</v>
      </c>
      <c r="F607" s="21">
        <f>0.6+5.3</f>
        <v>5.8999999999999995</v>
      </c>
      <c r="G607" s="21">
        <v>0</v>
      </c>
      <c r="H607" s="21">
        <v>0</v>
      </c>
    </row>
    <row r="608" spans="1:8">
      <c r="A608" s="86" t="s">
        <v>10</v>
      </c>
      <c r="B608" s="86" t="s">
        <v>59</v>
      </c>
      <c r="C608" s="86" t="s">
        <v>69</v>
      </c>
      <c r="D608" s="86" t="s">
        <v>69</v>
      </c>
      <c r="E608" s="42" t="s">
        <v>27</v>
      </c>
      <c r="F608" s="21">
        <f t="shared" ref="F608:H614" si="217">F609</f>
        <v>177.39999999999998</v>
      </c>
      <c r="G608" s="21">
        <f t="shared" si="217"/>
        <v>165.2</v>
      </c>
      <c r="H608" s="21">
        <f t="shared" si="217"/>
        <v>0</v>
      </c>
    </row>
    <row r="609" spans="1:8">
      <c r="A609" s="86" t="s">
        <v>10</v>
      </c>
      <c r="B609" s="17" t="s">
        <v>108</v>
      </c>
      <c r="C609" s="24"/>
      <c r="D609" s="24"/>
      <c r="E609" s="87" t="s">
        <v>109</v>
      </c>
      <c r="F609" s="21">
        <f t="shared" si="217"/>
        <v>177.39999999999998</v>
      </c>
      <c r="G609" s="21">
        <f t="shared" si="217"/>
        <v>165.2</v>
      </c>
      <c r="H609" s="21">
        <f t="shared" si="217"/>
        <v>0</v>
      </c>
    </row>
    <row r="610" spans="1:8" ht="35.25" customHeight="1">
      <c r="A610" s="86" t="s">
        <v>10</v>
      </c>
      <c r="B610" s="17" t="s">
        <v>108</v>
      </c>
      <c r="C610" s="88">
        <v>1100000000</v>
      </c>
      <c r="D610" s="24"/>
      <c r="E610" s="87" t="s">
        <v>221</v>
      </c>
      <c r="F610" s="21">
        <f t="shared" si="217"/>
        <v>177.39999999999998</v>
      </c>
      <c r="G610" s="21">
        <f t="shared" si="217"/>
        <v>165.2</v>
      </c>
      <c r="H610" s="21">
        <f t="shared" si="217"/>
        <v>0</v>
      </c>
    </row>
    <row r="611" spans="1:8" ht="31.5">
      <c r="A611" s="86" t="s">
        <v>10</v>
      </c>
      <c r="B611" s="17" t="s">
        <v>108</v>
      </c>
      <c r="C611" s="88">
        <v>1130000000</v>
      </c>
      <c r="D611" s="24"/>
      <c r="E611" s="87" t="s">
        <v>126</v>
      </c>
      <c r="F611" s="21">
        <f t="shared" si="217"/>
        <v>177.39999999999998</v>
      </c>
      <c r="G611" s="21">
        <f t="shared" si="217"/>
        <v>165.2</v>
      </c>
      <c r="H611" s="21">
        <f t="shared" si="217"/>
        <v>0</v>
      </c>
    </row>
    <row r="612" spans="1:8" ht="47.25">
      <c r="A612" s="86" t="s">
        <v>10</v>
      </c>
      <c r="B612" s="17" t="s">
        <v>108</v>
      </c>
      <c r="C612" s="88">
        <v>1130300000</v>
      </c>
      <c r="D612" s="24"/>
      <c r="E612" s="87" t="s">
        <v>127</v>
      </c>
      <c r="F612" s="21">
        <f t="shared" si="217"/>
        <v>177.39999999999998</v>
      </c>
      <c r="G612" s="21">
        <f t="shared" si="217"/>
        <v>165.2</v>
      </c>
      <c r="H612" s="21">
        <f t="shared" si="217"/>
        <v>0</v>
      </c>
    </row>
    <row r="613" spans="1:8" ht="31.5">
      <c r="A613" s="2" t="s">
        <v>10</v>
      </c>
      <c r="B613" s="17" t="s">
        <v>108</v>
      </c>
      <c r="C613" s="88">
        <v>1130320280</v>
      </c>
      <c r="D613" s="24"/>
      <c r="E613" s="87" t="s">
        <v>128</v>
      </c>
      <c r="F613" s="21">
        <f t="shared" si="217"/>
        <v>177.39999999999998</v>
      </c>
      <c r="G613" s="21">
        <f t="shared" si="217"/>
        <v>165.2</v>
      </c>
      <c r="H613" s="21">
        <f t="shared" si="217"/>
        <v>0</v>
      </c>
    </row>
    <row r="614" spans="1:8" ht="31.5">
      <c r="A614" s="2" t="s">
        <v>10</v>
      </c>
      <c r="B614" s="17" t="s">
        <v>108</v>
      </c>
      <c r="C614" s="88">
        <v>1130320280</v>
      </c>
      <c r="D614" s="88" t="s">
        <v>104</v>
      </c>
      <c r="E614" s="87" t="s">
        <v>105</v>
      </c>
      <c r="F614" s="21">
        <f t="shared" si="217"/>
        <v>177.39999999999998</v>
      </c>
      <c r="G614" s="21">
        <f t="shared" si="217"/>
        <v>165.2</v>
      </c>
      <c r="H614" s="21">
        <f t="shared" si="217"/>
        <v>0</v>
      </c>
    </row>
    <row r="615" spans="1:8">
      <c r="A615" s="86" t="s">
        <v>10</v>
      </c>
      <c r="B615" s="17" t="s">
        <v>108</v>
      </c>
      <c r="C615" s="88">
        <v>1130320280</v>
      </c>
      <c r="D615" s="86">
        <v>610</v>
      </c>
      <c r="E615" s="87" t="s">
        <v>115</v>
      </c>
      <c r="F615" s="21">
        <f>165.2+12.2</f>
        <v>177.39999999999998</v>
      </c>
      <c r="G615" s="21">
        <v>165.2</v>
      </c>
      <c r="H615" s="21">
        <v>0</v>
      </c>
    </row>
    <row r="616" spans="1:8">
      <c r="A616" s="86" t="s">
        <v>10</v>
      </c>
      <c r="B616" s="86" t="s">
        <v>39</v>
      </c>
      <c r="C616" s="86" t="s">
        <v>69</v>
      </c>
      <c r="D616" s="86" t="s">
        <v>69</v>
      </c>
      <c r="E616" s="87" t="s">
        <v>31</v>
      </c>
      <c r="F616" s="21">
        <f>F617+F649+F716+F740+F752</f>
        <v>488291.40000000008</v>
      </c>
      <c r="G616" s="21">
        <f>G617+G649+G716+G740+G752</f>
        <v>417461.10000000003</v>
      </c>
      <c r="H616" s="21">
        <f>H617+H649+H716+H740+H752</f>
        <v>416889.9</v>
      </c>
    </row>
    <row r="617" spans="1:8">
      <c r="A617" s="86" t="s">
        <v>10</v>
      </c>
      <c r="B617" s="86" t="s">
        <v>53</v>
      </c>
      <c r="C617" s="86" t="s">
        <v>69</v>
      </c>
      <c r="D617" s="86" t="s">
        <v>69</v>
      </c>
      <c r="E617" s="87" t="s">
        <v>11</v>
      </c>
      <c r="F617" s="21">
        <f>F618+F643</f>
        <v>198164.1</v>
      </c>
      <c r="G617" s="21">
        <f>G618+G643</f>
        <v>169087.2</v>
      </c>
      <c r="H617" s="21">
        <f>H618+H643</f>
        <v>169087.2</v>
      </c>
    </row>
    <row r="618" spans="1:8" ht="32.25" customHeight="1">
      <c r="A618" s="86" t="s">
        <v>10</v>
      </c>
      <c r="B618" s="86" t="s">
        <v>53</v>
      </c>
      <c r="C618" s="88">
        <v>1100000000</v>
      </c>
      <c r="D618" s="86"/>
      <c r="E618" s="87" t="s">
        <v>221</v>
      </c>
      <c r="F618" s="21">
        <f>F619</f>
        <v>197873.6</v>
      </c>
      <c r="G618" s="21">
        <f t="shared" ref="G618:H618" si="218">G619</f>
        <v>169087.2</v>
      </c>
      <c r="H618" s="21">
        <f t="shared" si="218"/>
        <v>169087.2</v>
      </c>
    </row>
    <row r="619" spans="1:8">
      <c r="A619" s="86" t="s">
        <v>10</v>
      </c>
      <c r="B619" s="86" t="s">
        <v>53</v>
      </c>
      <c r="C619" s="86">
        <v>1110000000</v>
      </c>
      <c r="D619" s="86"/>
      <c r="E619" s="87" t="s">
        <v>200</v>
      </c>
      <c r="F619" s="21">
        <f>F620+F633</f>
        <v>197873.6</v>
      </c>
      <c r="G619" s="21">
        <f>G620+G633</f>
        <v>169087.2</v>
      </c>
      <c r="H619" s="21">
        <f>H620+H633</f>
        <v>169087.2</v>
      </c>
    </row>
    <row r="620" spans="1:8" ht="47.25">
      <c r="A620" s="86" t="s">
        <v>10</v>
      </c>
      <c r="B620" s="86" t="s">
        <v>53</v>
      </c>
      <c r="C620" s="86">
        <v>1110100000</v>
      </c>
      <c r="D620" s="24"/>
      <c r="E620" s="87" t="s">
        <v>201</v>
      </c>
      <c r="F620" s="21">
        <f>F627+F621+F624+F630</f>
        <v>193983.80000000002</v>
      </c>
      <c r="G620" s="21">
        <f t="shared" ref="G620:H620" si="219">G627+G621+G624+G630</f>
        <v>169087.2</v>
      </c>
      <c r="H620" s="21">
        <f t="shared" si="219"/>
        <v>169087.2</v>
      </c>
    </row>
    <row r="621" spans="1:8" ht="46.5" customHeight="1">
      <c r="A621" s="2" t="s">
        <v>10</v>
      </c>
      <c r="B621" s="2" t="s">
        <v>53</v>
      </c>
      <c r="C621" s="10" t="s">
        <v>203</v>
      </c>
      <c r="D621" s="11"/>
      <c r="E621" s="42" t="s">
        <v>114</v>
      </c>
      <c r="F621" s="21">
        <f>F622</f>
        <v>105427.3</v>
      </c>
      <c r="G621" s="21">
        <f t="shared" ref="G621:H622" si="220">G622</f>
        <v>93267</v>
      </c>
      <c r="H621" s="21">
        <f t="shared" si="220"/>
        <v>93267</v>
      </c>
    </row>
    <row r="622" spans="1:8" ht="31.5">
      <c r="A622" s="2" t="s">
        <v>10</v>
      </c>
      <c r="B622" s="2" t="s">
        <v>53</v>
      </c>
      <c r="C622" s="10" t="s">
        <v>203</v>
      </c>
      <c r="D622" s="88" t="s">
        <v>104</v>
      </c>
      <c r="E622" s="87" t="s">
        <v>105</v>
      </c>
      <c r="F622" s="21">
        <f>F623</f>
        <v>105427.3</v>
      </c>
      <c r="G622" s="21">
        <f t="shared" si="220"/>
        <v>93267</v>
      </c>
      <c r="H622" s="21">
        <f t="shared" si="220"/>
        <v>93267</v>
      </c>
    </row>
    <row r="623" spans="1:8">
      <c r="A623" s="86" t="s">
        <v>10</v>
      </c>
      <c r="B623" s="2" t="s">
        <v>53</v>
      </c>
      <c r="C623" s="10" t="s">
        <v>203</v>
      </c>
      <c r="D623" s="86">
        <v>610</v>
      </c>
      <c r="E623" s="87" t="s">
        <v>115</v>
      </c>
      <c r="F623" s="21">
        <f>93267+9227.2+2933.1</f>
        <v>105427.3</v>
      </c>
      <c r="G623" s="21">
        <v>93267</v>
      </c>
      <c r="H623" s="21">
        <v>93267</v>
      </c>
    </row>
    <row r="624" spans="1:8" ht="63">
      <c r="A624" s="9" t="s">
        <v>10</v>
      </c>
      <c r="B624" s="2" t="s">
        <v>53</v>
      </c>
      <c r="C624" s="10" t="s">
        <v>419</v>
      </c>
      <c r="D624" s="11"/>
      <c r="E624" s="8" t="s">
        <v>416</v>
      </c>
      <c r="F624" s="21">
        <f>F625</f>
        <v>12243.1</v>
      </c>
      <c r="G624" s="21">
        <f t="shared" ref="G624:H625" si="221">G625</f>
        <v>0</v>
      </c>
      <c r="H624" s="21">
        <f t="shared" si="221"/>
        <v>0</v>
      </c>
    </row>
    <row r="625" spans="1:8" ht="31.5">
      <c r="A625" s="9" t="s">
        <v>10</v>
      </c>
      <c r="B625" s="2" t="s">
        <v>53</v>
      </c>
      <c r="C625" s="10" t="s">
        <v>419</v>
      </c>
      <c r="D625" s="88" t="s">
        <v>104</v>
      </c>
      <c r="E625" s="66" t="s">
        <v>105</v>
      </c>
      <c r="F625" s="21">
        <f>F626</f>
        <v>12243.1</v>
      </c>
      <c r="G625" s="21">
        <f t="shared" si="221"/>
        <v>0</v>
      </c>
      <c r="H625" s="21">
        <f t="shared" si="221"/>
        <v>0</v>
      </c>
    </row>
    <row r="626" spans="1:8">
      <c r="A626" s="9" t="s">
        <v>10</v>
      </c>
      <c r="B626" s="2" t="s">
        <v>53</v>
      </c>
      <c r="C626" s="10" t="s">
        <v>419</v>
      </c>
      <c r="D626" s="86">
        <v>610</v>
      </c>
      <c r="E626" s="66" t="s">
        <v>115</v>
      </c>
      <c r="F626" s="21">
        <v>12243.1</v>
      </c>
      <c r="G626" s="21">
        <v>0</v>
      </c>
      <c r="H626" s="21">
        <v>0</v>
      </c>
    </row>
    <row r="627" spans="1:8" ht="31.5">
      <c r="A627" s="2" t="s">
        <v>10</v>
      </c>
      <c r="B627" s="2" t="s">
        <v>53</v>
      </c>
      <c r="C627" s="10" t="s">
        <v>202</v>
      </c>
      <c r="D627" s="10"/>
      <c r="E627" s="42" t="s">
        <v>135</v>
      </c>
      <c r="F627" s="21">
        <f>F628</f>
        <v>76189.7</v>
      </c>
      <c r="G627" s="21">
        <f t="shared" ref="G627:H628" si="222">G628</f>
        <v>75820.2</v>
      </c>
      <c r="H627" s="21">
        <f t="shared" si="222"/>
        <v>75820.2</v>
      </c>
    </row>
    <row r="628" spans="1:8" ht="31.5">
      <c r="A628" s="2" t="s">
        <v>10</v>
      </c>
      <c r="B628" s="2" t="s">
        <v>53</v>
      </c>
      <c r="C628" s="10" t="s">
        <v>202</v>
      </c>
      <c r="D628" s="88" t="s">
        <v>104</v>
      </c>
      <c r="E628" s="87" t="s">
        <v>105</v>
      </c>
      <c r="F628" s="21">
        <f>F629</f>
        <v>76189.7</v>
      </c>
      <c r="G628" s="21">
        <f t="shared" si="222"/>
        <v>75820.2</v>
      </c>
      <c r="H628" s="21">
        <f t="shared" si="222"/>
        <v>75820.2</v>
      </c>
    </row>
    <row r="629" spans="1:8">
      <c r="A629" s="86" t="s">
        <v>10</v>
      </c>
      <c r="B629" s="2" t="s">
        <v>53</v>
      </c>
      <c r="C629" s="10" t="s">
        <v>202</v>
      </c>
      <c r="D629" s="86">
        <v>610</v>
      </c>
      <c r="E629" s="87" t="s">
        <v>115</v>
      </c>
      <c r="F629" s="21">
        <f>75820.2+2917.4+393-835.9-123.7-1943.1-38.2</f>
        <v>76189.7</v>
      </c>
      <c r="G629" s="21">
        <v>75820.2</v>
      </c>
      <c r="H629" s="21">
        <v>75820.2</v>
      </c>
    </row>
    <row r="630" spans="1:8" ht="50.25" customHeight="1">
      <c r="A630" s="2" t="s">
        <v>10</v>
      </c>
      <c r="B630" s="2" t="s">
        <v>53</v>
      </c>
      <c r="C630" s="10" t="s">
        <v>420</v>
      </c>
      <c r="D630" s="11"/>
      <c r="E630" s="8" t="s">
        <v>417</v>
      </c>
      <c r="F630" s="21">
        <f>F631</f>
        <v>123.7</v>
      </c>
      <c r="G630" s="21">
        <f t="shared" ref="G630:H631" si="223">G631</f>
        <v>0</v>
      </c>
      <c r="H630" s="21">
        <f t="shared" si="223"/>
        <v>0</v>
      </c>
    </row>
    <row r="631" spans="1:8" ht="31.5">
      <c r="A631" s="2" t="s">
        <v>10</v>
      </c>
      <c r="B631" s="2" t="s">
        <v>53</v>
      </c>
      <c r="C631" s="10" t="s">
        <v>420</v>
      </c>
      <c r="D631" s="88" t="s">
        <v>104</v>
      </c>
      <c r="E631" s="66" t="s">
        <v>105</v>
      </c>
      <c r="F631" s="21">
        <f>F632</f>
        <v>123.7</v>
      </c>
      <c r="G631" s="21">
        <f t="shared" si="223"/>
        <v>0</v>
      </c>
      <c r="H631" s="21">
        <f t="shared" si="223"/>
        <v>0</v>
      </c>
    </row>
    <row r="632" spans="1:8">
      <c r="A632" s="86" t="s">
        <v>10</v>
      </c>
      <c r="B632" s="2" t="s">
        <v>53</v>
      </c>
      <c r="C632" s="10" t="s">
        <v>420</v>
      </c>
      <c r="D632" s="86">
        <v>610</v>
      </c>
      <c r="E632" s="66" t="s">
        <v>115</v>
      </c>
      <c r="F632" s="21">
        <v>123.7</v>
      </c>
      <c r="G632" s="21">
        <v>0</v>
      </c>
      <c r="H632" s="21">
        <v>0</v>
      </c>
    </row>
    <row r="633" spans="1:8" ht="63">
      <c r="A633" s="2" t="s">
        <v>10</v>
      </c>
      <c r="B633" s="2" t="s">
        <v>53</v>
      </c>
      <c r="C633" s="86">
        <v>1110500000</v>
      </c>
      <c r="D633" s="86"/>
      <c r="E633" s="66" t="s">
        <v>208</v>
      </c>
      <c r="F633" s="21">
        <f>F637+F640+F634</f>
        <v>3889.8</v>
      </c>
      <c r="G633" s="21">
        <f t="shared" ref="G633:H633" si="224">G637+G640+G634</f>
        <v>0</v>
      </c>
      <c r="H633" s="21">
        <f t="shared" si="224"/>
        <v>0</v>
      </c>
    </row>
    <row r="634" spans="1:8" ht="47.25">
      <c r="A634" s="2" t="s">
        <v>10</v>
      </c>
      <c r="B634" s="2" t="s">
        <v>53</v>
      </c>
      <c r="C634" s="10" t="s">
        <v>413</v>
      </c>
      <c r="D634" s="86"/>
      <c r="E634" s="87" t="s">
        <v>411</v>
      </c>
      <c r="F634" s="21">
        <f>F635</f>
        <v>1419.5</v>
      </c>
      <c r="G634" s="21">
        <f t="shared" ref="G634:H635" si="225">G635</f>
        <v>0</v>
      </c>
      <c r="H634" s="21">
        <f t="shared" si="225"/>
        <v>0</v>
      </c>
    </row>
    <row r="635" spans="1:8" ht="31.5">
      <c r="A635" s="86" t="s">
        <v>10</v>
      </c>
      <c r="B635" s="2" t="s">
        <v>53</v>
      </c>
      <c r="C635" s="10" t="s">
        <v>413</v>
      </c>
      <c r="D635" s="88" t="s">
        <v>104</v>
      </c>
      <c r="E635" s="87" t="s">
        <v>105</v>
      </c>
      <c r="F635" s="21">
        <f>F636</f>
        <v>1419.5</v>
      </c>
      <c r="G635" s="21">
        <f t="shared" si="225"/>
        <v>0</v>
      </c>
      <c r="H635" s="21">
        <f t="shared" si="225"/>
        <v>0</v>
      </c>
    </row>
    <row r="636" spans="1:8">
      <c r="A636" s="2" t="s">
        <v>10</v>
      </c>
      <c r="B636" s="2" t="s">
        <v>53</v>
      </c>
      <c r="C636" s="10" t="s">
        <v>413</v>
      </c>
      <c r="D636" s="86">
        <v>610</v>
      </c>
      <c r="E636" s="87" t="s">
        <v>115</v>
      </c>
      <c r="F636" s="21">
        <f>1836.8-417.3</f>
        <v>1419.5</v>
      </c>
      <c r="G636" s="21">
        <v>0</v>
      </c>
      <c r="H636" s="21">
        <v>0</v>
      </c>
    </row>
    <row r="637" spans="1:8" ht="14.25" customHeight="1">
      <c r="A637" s="2" t="s">
        <v>10</v>
      </c>
      <c r="B637" s="2" t="s">
        <v>53</v>
      </c>
      <c r="C637" s="10" t="s">
        <v>383</v>
      </c>
      <c r="D637" s="86"/>
      <c r="E637" s="66" t="s">
        <v>350</v>
      </c>
      <c r="F637" s="21">
        <f>F638</f>
        <v>2046.7000000000003</v>
      </c>
      <c r="G637" s="21">
        <f t="shared" ref="G637:H638" si="226">G638</f>
        <v>0</v>
      </c>
      <c r="H637" s="21">
        <f t="shared" si="226"/>
        <v>0</v>
      </c>
    </row>
    <row r="638" spans="1:8" ht="31.5">
      <c r="A638" s="86" t="s">
        <v>10</v>
      </c>
      <c r="B638" s="2" t="s">
        <v>53</v>
      </c>
      <c r="C638" s="10" t="s">
        <v>383</v>
      </c>
      <c r="D638" s="88" t="s">
        <v>104</v>
      </c>
      <c r="E638" s="87" t="s">
        <v>105</v>
      </c>
      <c r="F638" s="21">
        <f>F639</f>
        <v>2046.7000000000003</v>
      </c>
      <c r="G638" s="21">
        <f t="shared" si="226"/>
        <v>0</v>
      </c>
      <c r="H638" s="21">
        <f t="shared" si="226"/>
        <v>0</v>
      </c>
    </row>
    <row r="639" spans="1:8">
      <c r="A639" s="2" t="s">
        <v>10</v>
      </c>
      <c r="B639" s="2" t="s">
        <v>53</v>
      </c>
      <c r="C639" s="10" t="s">
        <v>383</v>
      </c>
      <c r="D639" s="86">
        <v>610</v>
      </c>
      <c r="E639" s="87" t="s">
        <v>115</v>
      </c>
      <c r="F639" s="21">
        <f>4184.8-479.6-548.1-50-1419.5+124.5+215.5+19.1</f>
        <v>2046.7000000000003</v>
      </c>
      <c r="G639" s="21">
        <v>0</v>
      </c>
      <c r="H639" s="21">
        <v>0</v>
      </c>
    </row>
    <row r="640" spans="1:8" ht="47.25">
      <c r="A640" s="2" t="s">
        <v>10</v>
      </c>
      <c r="B640" s="2" t="s">
        <v>53</v>
      </c>
      <c r="C640" s="10" t="s">
        <v>410</v>
      </c>
      <c r="D640" s="86"/>
      <c r="E640" s="87" t="s">
        <v>411</v>
      </c>
      <c r="F640" s="21">
        <f>F641</f>
        <v>423.6</v>
      </c>
      <c r="G640" s="21">
        <f t="shared" ref="G640:H641" si="227">G641</f>
        <v>0</v>
      </c>
      <c r="H640" s="21">
        <f t="shared" si="227"/>
        <v>0</v>
      </c>
    </row>
    <row r="641" spans="1:8" ht="31.5">
      <c r="A641" s="86" t="s">
        <v>10</v>
      </c>
      <c r="B641" s="2" t="s">
        <v>53</v>
      </c>
      <c r="C641" s="10" t="s">
        <v>410</v>
      </c>
      <c r="D641" s="88" t="s">
        <v>104</v>
      </c>
      <c r="E641" s="87" t="s">
        <v>105</v>
      </c>
      <c r="F641" s="21">
        <f>F642</f>
        <v>423.6</v>
      </c>
      <c r="G641" s="21">
        <f t="shared" si="227"/>
        <v>0</v>
      </c>
      <c r="H641" s="21">
        <f t="shared" si="227"/>
        <v>0</v>
      </c>
    </row>
    <row r="642" spans="1:8">
      <c r="A642" s="2" t="s">
        <v>10</v>
      </c>
      <c r="B642" s="2" t="s">
        <v>53</v>
      </c>
      <c r="C642" s="10" t="s">
        <v>410</v>
      </c>
      <c r="D642" s="86">
        <v>610</v>
      </c>
      <c r="E642" s="87" t="s">
        <v>115</v>
      </c>
      <c r="F642" s="21">
        <f>548.1-124.5</f>
        <v>423.6</v>
      </c>
      <c r="G642" s="21">
        <v>0</v>
      </c>
      <c r="H642" s="21">
        <v>0</v>
      </c>
    </row>
    <row r="643" spans="1:8" ht="31.5">
      <c r="A643" s="2" t="s">
        <v>10</v>
      </c>
      <c r="B643" s="2" t="s">
        <v>53</v>
      </c>
      <c r="C643" s="88">
        <v>1500000000</v>
      </c>
      <c r="D643" s="86"/>
      <c r="E643" s="66" t="s">
        <v>217</v>
      </c>
      <c r="F643" s="21">
        <f>F644</f>
        <v>290.5</v>
      </c>
      <c r="G643" s="21">
        <f t="shared" ref="G643:H647" si="228">G644</f>
        <v>0</v>
      </c>
      <c r="H643" s="21">
        <f t="shared" si="228"/>
        <v>0</v>
      </c>
    </row>
    <row r="644" spans="1:8" ht="31.5">
      <c r="A644" s="2" t="s">
        <v>10</v>
      </c>
      <c r="B644" s="2" t="s">
        <v>53</v>
      </c>
      <c r="C644" s="88">
        <v>1520000000</v>
      </c>
      <c r="D644" s="86"/>
      <c r="E644" s="66" t="s">
        <v>360</v>
      </c>
      <c r="F644" s="21">
        <f>F645</f>
        <v>290.5</v>
      </c>
      <c r="G644" s="21">
        <f t="shared" si="228"/>
        <v>0</v>
      </c>
      <c r="H644" s="21">
        <f t="shared" si="228"/>
        <v>0</v>
      </c>
    </row>
    <row r="645" spans="1:8" ht="47.25">
      <c r="A645" s="86" t="s">
        <v>10</v>
      </c>
      <c r="B645" s="2" t="s">
        <v>53</v>
      </c>
      <c r="C645" s="88">
        <v>1520200000</v>
      </c>
      <c r="D645" s="86"/>
      <c r="E645" s="73" t="s">
        <v>363</v>
      </c>
      <c r="F645" s="21">
        <f>F646</f>
        <v>290.5</v>
      </c>
      <c r="G645" s="21">
        <f t="shared" si="228"/>
        <v>0</v>
      </c>
      <c r="H645" s="21">
        <f t="shared" si="228"/>
        <v>0</v>
      </c>
    </row>
    <row r="646" spans="1:8">
      <c r="A646" s="86" t="s">
        <v>10</v>
      </c>
      <c r="B646" s="2" t="s">
        <v>53</v>
      </c>
      <c r="C646" s="88">
        <v>1520220190</v>
      </c>
      <c r="D646" s="86"/>
      <c r="E646" s="87" t="s">
        <v>392</v>
      </c>
      <c r="F646" s="21">
        <f>F647</f>
        <v>290.5</v>
      </c>
      <c r="G646" s="21">
        <f t="shared" si="228"/>
        <v>0</v>
      </c>
      <c r="H646" s="21">
        <f t="shared" si="228"/>
        <v>0</v>
      </c>
    </row>
    <row r="647" spans="1:8" ht="31.5">
      <c r="A647" s="86" t="s">
        <v>10</v>
      </c>
      <c r="B647" s="2" t="s">
        <v>53</v>
      </c>
      <c r="C647" s="88">
        <v>1520220190</v>
      </c>
      <c r="D647" s="88" t="s">
        <v>104</v>
      </c>
      <c r="E647" s="87" t="s">
        <v>105</v>
      </c>
      <c r="F647" s="21">
        <f>F648</f>
        <v>290.5</v>
      </c>
      <c r="G647" s="21">
        <f t="shared" si="228"/>
        <v>0</v>
      </c>
      <c r="H647" s="21">
        <f t="shared" si="228"/>
        <v>0</v>
      </c>
    </row>
    <row r="648" spans="1:8">
      <c r="A648" s="86" t="s">
        <v>10</v>
      </c>
      <c r="B648" s="2" t="s">
        <v>53</v>
      </c>
      <c r="C648" s="88">
        <v>1520220190</v>
      </c>
      <c r="D648" s="86">
        <v>610</v>
      </c>
      <c r="E648" s="87" t="s">
        <v>115</v>
      </c>
      <c r="F648" s="21">
        <f>266.8+23.7</f>
        <v>290.5</v>
      </c>
      <c r="G648" s="21">
        <v>0</v>
      </c>
      <c r="H648" s="21">
        <v>0</v>
      </c>
    </row>
    <row r="649" spans="1:8">
      <c r="A649" s="86" t="s">
        <v>10</v>
      </c>
      <c r="B649" s="86" t="s">
        <v>54</v>
      </c>
      <c r="C649" s="86" t="s">
        <v>69</v>
      </c>
      <c r="D649" s="86" t="s">
        <v>69</v>
      </c>
      <c r="E649" s="87" t="s">
        <v>12</v>
      </c>
      <c r="F649" s="21">
        <f>F650+F699+F711</f>
        <v>268667.50000000006</v>
      </c>
      <c r="G649" s="21">
        <f>G650+G699+G711</f>
        <v>233586.7</v>
      </c>
      <c r="H649" s="21">
        <f>H650+H699+H711</f>
        <v>233571.30000000002</v>
      </c>
    </row>
    <row r="650" spans="1:8" ht="33.75" customHeight="1">
      <c r="A650" s="86" t="s">
        <v>10</v>
      </c>
      <c r="B650" s="86" t="s">
        <v>54</v>
      </c>
      <c r="C650" s="88">
        <v>1100000000</v>
      </c>
      <c r="D650" s="86"/>
      <c r="E650" s="87" t="s">
        <v>221</v>
      </c>
      <c r="F650" s="21">
        <f>F651+F686+F691</f>
        <v>267704.00000000006</v>
      </c>
      <c r="G650" s="21">
        <f>G651+G686+G691</f>
        <v>233586.7</v>
      </c>
      <c r="H650" s="21">
        <f>H651+H686+H691</f>
        <v>233571.30000000002</v>
      </c>
    </row>
    <row r="651" spans="1:8">
      <c r="A651" s="86" t="s">
        <v>10</v>
      </c>
      <c r="B651" s="86" t="s">
        <v>54</v>
      </c>
      <c r="C651" s="86">
        <v>1110000000</v>
      </c>
      <c r="D651" s="86"/>
      <c r="E651" s="87" t="s">
        <v>279</v>
      </c>
      <c r="F651" s="21">
        <f>F652+F665+F672+F682</f>
        <v>263767.30000000005</v>
      </c>
      <c r="G651" s="21">
        <f t="shared" ref="G651:H651" si="229">G652+G665+G672+G682</f>
        <v>229821.1</v>
      </c>
      <c r="H651" s="21">
        <f t="shared" si="229"/>
        <v>229821.1</v>
      </c>
    </row>
    <row r="652" spans="1:8" ht="47.25">
      <c r="A652" s="86" t="s">
        <v>10</v>
      </c>
      <c r="B652" s="86" t="s">
        <v>54</v>
      </c>
      <c r="C652" s="86">
        <v>1110100000</v>
      </c>
      <c r="D652" s="24"/>
      <c r="E652" s="87" t="s">
        <v>201</v>
      </c>
      <c r="F652" s="21">
        <f>F659+F653+F656+F662</f>
        <v>230986.6</v>
      </c>
      <c r="G652" s="21">
        <f t="shared" ref="G652:H652" si="230">G659+G653+G656+G662</f>
        <v>229821.1</v>
      </c>
      <c r="H652" s="21">
        <f t="shared" si="230"/>
        <v>229821.1</v>
      </c>
    </row>
    <row r="653" spans="1:8" ht="94.5">
      <c r="A653" s="86" t="s">
        <v>10</v>
      </c>
      <c r="B653" s="86" t="s">
        <v>54</v>
      </c>
      <c r="C653" s="86">
        <v>1110110750</v>
      </c>
      <c r="D653" s="86"/>
      <c r="E653" s="87" t="s">
        <v>204</v>
      </c>
      <c r="F653" s="21">
        <f>F654</f>
        <v>187624</v>
      </c>
      <c r="G653" s="21">
        <f t="shared" ref="G653:H654" si="231">G654</f>
        <v>187633</v>
      </c>
      <c r="H653" s="21">
        <f t="shared" si="231"/>
        <v>187633</v>
      </c>
    </row>
    <row r="654" spans="1:8" ht="31.5">
      <c r="A654" s="86" t="s">
        <v>10</v>
      </c>
      <c r="B654" s="86" t="s">
        <v>54</v>
      </c>
      <c r="C654" s="86">
        <v>1110110750</v>
      </c>
      <c r="D654" s="88" t="s">
        <v>104</v>
      </c>
      <c r="E654" s="87" t="s">
        <v>105</v>
      </c>
      <c r="F654" s="21">
        <f>F655</f>
        <v>187624</v>
      </c>
      <c r="G654" s="21">
        <f t="shared" si="231"/>
        <v>187633</v>
      </c>
      <c r="H654" s="21">
        <f t="shared" si="231"/>
        <v>187633</v>
      </c>
    </row>
    <row r="655" spans="1:8">
      <c r="A655" s="86" t="s">
        <v>10</v>
      </c>
      <c r="B655" s="86" t="s">
        <v>54</v>
      </c>
      <c r="C655" s="86">
        <v>1110110750</v>
      </c>
      <c r="D655" s="86">
        <v>610</v>
      </c>
      <c r="E655" s="87" t="s">
        <v>115</v>
      </c>
      <c r="F655" s="21">
        <v>187624</v>
      </c>
      <c r="G655" s="21">
        <v>187633</v>
      </c>
      <c r="H655" s="21">
        <v>187633</v>
      </c>
    </row>
    <row r="656" spans="1:8" ht="63">
      <c r="A656" s="9" t="s">
        <v>10</v>
      </c>
      <c r="B656" s="86" t="s">
        <v>54</v>
      </c>
      <c r="C656" s="10" t="s">
        <v>419</v>
      </c>
      <c r="D656" s="11"/>
      <c r="E656" s="8" t="s">
        <v>416</v>
      </c>
      <c r="F656" s="21">
        <f>F657</f>
        <v>2540.6999999999998</v>
      </c>
      <c r="G656" s="21">
        <f t="shared" ref="G656:H657" si="232">G657</f>
        <v>0</v>
      </c>
      <c r="H656" s="21">
        <f t="shared" si="232"/>
        <v>0</v>
      </c>
    </row>
    <row r="657" spans="1:8" ht="31.5">
      <c r="A657" s="9" t="s">
        <v>10</v>
      </c>
      <c r="B657" s="86" t="s">
        <v>54</v>
      </c>
      <c r="C657" s="10" t="s">
        <v>419</v>
      </c>
      <c r="D657" s="88" t="s">
        <v>104</v>
      </c>
      <c r="E657" s="66" t="s">
        <v>105</v>
      </c>
      <c r="F657" s="21">
        <f>F658</f>
        <v>2540.6999999999998</v>
      </c>
      <c r="G657" s="21">
        <f t="shared" si="232"/>
        <v>0</v>
      </c>
      <c r="H657" s="21">
        <f t="shared" si="232"/>
        <v>0</v>
      </c>
    </row>
    <row r="658" spans="1:8">
      <c r="A658" s="9" t="s">
        <v>10</v>
      </c>
      <c r="B658" s="86" t="s">
        <v>54</v>
      </c>
      <c r="C658" s="10" t="s">
        <v>419</v>
      </c>
      <c r="D658" s="86">
        <v>610</v>
      </c>
      <c r="E658" s="66" t="s">
        <v>115</v>
      </c>
      <c r="F658" s="21">
        <v>2540.6999999999998</v>
      </c>
      <c r="G658" s="21">
        <v>0</v>
      </c>
      <c r="H658" s="21">
        <v>0</v>
      </c>
    </row>
    <row r="659" spans="1:8" ht="31.5">
      <c r="A659" s="86" t="s">
        <v>10</v>
      </c>
      <c r="B659" s="86" t="s">
        <v>54</v>
      </c>
      <c r="C659" s="10" t="s">
        <v>202</v>
      </c>
      <c r="D659" s="10"/>
      <c r="E659" s="42" t="s">
        <v>135</v>
      </c>
      <c r="F659" s="21">
        <f>F660</f>
        <v>40796.299999999996</v>
      </c>
      <c r="G659" s="21">
        <f t="shared" ref="G659:H660" si="233">G660</f>
        <v>42188.1</v>
      </c>
      <c r="H659" s="21">
        <f t="shared" si="233"/>
        <v>42188.1</v>
      </c>
    </row>
    <row r="660" spans="1:8" ht="31.5">
      <c r="A660" s="86" t="s">
        <v>10</v>
      </c>
      <c r="B660" s="86" t="s">
        <v>54</v>
      </c>
      <c r="C660" s="10" t="s">
        <v>202</v>
      </c>
      <c r="D660" s="88" t="s">
        <v>104</v>
      </c>
      <c r="E660" s="87" t="s">
        <v>105</v>
      </c>
      <c r="F660" s="21">
        <f>F661</f>
        <v>40796.299999999996</v>
      </c>
      <c r="G660" s="21">
        <f t="shared" si="233"/>
        <v>42188.1</v>
      </c>
      <c r="H660" s="21">
        <f t="shared" si="233"/>
        <v>42188.1</v>
      </c>
    </row>
    <row r="661" spans="1:8">
      <c r="A661" s="86" t="s">
        <v>10</v>
      </c>
      <c r="B661" s="86" t="s">
        <v>54</v>
      </c>
      <c r="C661" s="10" t="s">
        <v>202</v>
      </c>
      <c r="D661" s="86">
        <v>610</v>
      </c>
      <c r="E661" s="87" t="s">
        <v>115</v>
      </c>
      <c r="F661" s="21">
        <f>42188.1+3648.4+133.7-40-4126.2-25.6+340-410.4-949.9+38.2</f>
        <v>40796.299999999996</v>
      </c>
      <c r="G661" s="21">
        <v>42188.1</v>
      </c>
      <c r="H661" s="21">
        <v>42188.1</v>
      </c>
    </row>
    <row r="662" spans="1:8" ht="47.25" customHeight="1">
      <c r="A662" s="2" t="s">
        <v>10</v>
      </c>
      <c r="B662" s="86" t="s">
        <v>54</v>
      </c>
      <c r="C662" s="10" t="s">
        <v>420</v>
      </c>
      <c r="D662" s="11"/>
      <c r="E662" s="8" t="s">
        <v>417</v>
      </c>
      <c r="F662" s="21">
        <f>F663</f>
        <v>25.6</v>
      </c>
      <c r="G662" s="21">
        <f t="shared" ref="G662:G663" si="234">G663</f>
        <v>0</v>
      </c>
      <c r="H662" s="21">
        <f t="shared" ref="H662:H663" si="235">H663</f>
        <v>0</v>
      </c>
    </row>
    <row r="663" spans="1:8" ht="31.5">
      <c r="A663" s="2" t="s">
        <v>10</v>
      </c>
      <c r="B663" s="86" t="s">
        <v>54</v>
      </c>
      <c r="C663" s="10" t="s">
        <v>420</v>
      </c>
      <c r="D663" s="88" t="s">
        <v>104</v>
      </c>
      <c r="E663" s="66" t="s">
        <v>105</v>
      </c>
      <c r="F663" s="21">
        <f>F664</f>
        <v>25.6</v>
      </c>
      <c r="G663" s="21">
        <f t="shared" si="234"/>
        <v>0</v>
      </c>
      <c r="H663" s="21">
        <f t="shared" si="235"/>
        <v>0</v>
      </c>
    </row>
    <row r="664" spans="1:8">
      <c r="A664" s="86" t="s">
        <v>10</v>
      </c>
      <c r="B664" s="86" t="s">
        <v>54</v>
      </c>
      <c r="C664" s="10" t="s">
        <v>420</v>
      </c>
      <c r="D664" s="86">
        <v>610</v>
      </c>
      <c r="E664" s="66" t="s">
        <v>115</v>
      </c>
      <c r="F664" s="21">
        <v>25.6</v>
      </c>
      <c r="G664" s="21">
        <v>0</v>
      </c>
      <c r="H664" s="21">
        <v>0</v>
      </c>
    </row>
    <row r="665" spans="1:8" ht="31.5">
      <c r="A665" s="86" t="s">
        <v>10</v>
      </c>
      <c r="B665" s="86" t="s">
        <v>54</v>
      </c>
      <c r="C665" s="86">
        <v>1110300000</v>
      </c>
      <c r="D665" s="86"/>
      <c r="E665" s="87" t="s">
        <v>205</v>
      </c>
      <c r="F665" s="21">
        <f>F669+F666</f>
        <v>8271.6</v>
      </c>
      <c r="G665" s="21">
        <f t="shared" ref="G665:H665" si="236">G669+G666</f>
        <v>0</v>
      </c>
      <c r="H665" s="21">
        <f t="shared" si="236"/>
        <v>0</v>
      </c>
    </row>
    <row r="666" spans="1:8" ht="47.25">
      <c r="A666" s="86" t="s">
        <v>10</v>
      </c>
      <c r="B666" s="86" t="s">
        <v>54</v>
      </c>
      <c r="C666" s="86">
        <v>1110310230</v>
      </c>
      <c r="D666" s="86"/>
      <c r="E666" s="87" t="s">
        <v>375</v>
      </c>
      <c r="F666" s="21">
        <f>F667</f>
        <v>4135.8</v>
      </c>
      <c r="G666" s="21">
        <f t="shared" ref="G666:H667" si="237">G667</f>
        <v>0</v>
      </c>
      <c r="H666" s="21">
        <f t="shared" si="237"/>
        <v>0</v>
      </c>
    </row>
    <row r="667" spans="1:8" ht="31.5">
      <c r="A667" s="86" t="s">
        <v>10</v>
      </c>
      <c r="B667" s="86" t="s">
        <v>54</v>
      </c>
      <c r="C667" s="86">
        <v>1110310230</v>
      </c>
      <c r="D667" s="88" t="s">
        <v>104</v>
      </c>
      <c r="E667" s="87" t="s">
        <v>105</v>
      </c>
      <c r="F667" s="21">
        <f>F668</f>
        <v>4135.8</v>
      </c>
      <c r="G667" s="21">
        <f t="shared" si="237"/>
        <v>0</v>
      </c>
      <c r="H667" s="21">
        <f t="shared" si="237"/>
        <v>0</v>
      </c>
    </row>
    <row r="668" spans="1:8">
      <c r="A668" s="86" t="s">
        <v>10</v>
      </c>
      <c r="B668" s="86" t="s">
        <v>54</v>
      </c>
      <c r="C668" s="86">
        <v>1110310230</v>
      </c>
      <c r="D668" s="86">
        <v>610</v>
      </c>
      <c r="E668" s="87" t="s">
        <v>115</v>
      </c>
      <c r="F668" s="21">
        <v>4135.8</v>
      </c>
      <c r="G668" s="21">
        <v>0</v>
      </c>
      <c r="H668" s="21">
        <v>0</v>
      </c>
    </row>
    <row r="669" spans="1:8" ht="47.25">
      <c r="A669" s="86" t="s">
        <v>10</v>
      </c>
      <c r="B669" s="86" t="s">
        <v>54</v>
      </c>
      <c r="C669" s="86" t="s">
        <v>207</v>
      </c>
      <c r="D669" s="86"/>
      <c r="E669" s="87" t="s">
        <v>206</v>
      </c>
      <c r="F669" s="21">
        <f>F670</f>
        <v>4135.8</v>
      </c>
      <c r="G669" s="21">
        <f t="shared" ref="G669:H670" si="238">G670</f>
        <v>0</v>
      </c>
      <c r="H669" s="21">
        <f t="shared" si="238"/>
        <v>0</v>
      </c>
    </row>
    <row r="670" spans="1:8" ht="31.5">
      <c r="A670" s="86" t="s">
        <v>10</v>
      </c>
      <c r="B670" s="86" t="s">
        <v>54</v>
      </c>
      <c r="C670" s="86" t="s">
        <v>207</v>
      </c>
      <c r="D670" s="88" t="s">
        <v>104</v>
      </c>
      <c r="E670" s="87" t="s">
        <v>105</v>
      </c>
      <c r="F670" s="21">
        <f>F671</f>
        <v>4135.8</v>
      </c>
      <c r="G670" s="21">
        <f t="shared" si="238"/>
        <v>0</v>
      </c>
      <c r="H670" s="21">
        <f t="shared" si="238"/>
        <v>0</v>
      </c>
    </row>
    <row r="671" spans="1:8">
      <c r="A671" s="86" t="s">
        <v>10</v>
      </c>
      <c r="B671" s="86" t="s">
        <v>54</v>
      </c>
      <c r="C671" s="86" t="s">
        <v>207</v>
      </c>
      <c r="D671" s="86">
        <v>610</v>
      </c>
      <c r="E671" s="87" t="s">
        <v>115</v>
      </c>
      <c r="F671" s="21">
        <v>4135.8</v>
      </c>
      <c r="G671" s="21">
        <f>4135.8-4135.8</f>
        <v>0</v>
      </c>
      <c r="H671" s="21">
        <v>0</v>
      </c>
    </row>
    <row r="672" spans="1:8" ht="63">
      <c r="A672" s="86" t="s">
        <v>10</v>
      </c>
      <c r="B672" s="86" t="s">
        <v>54</v>
      </c>
      <c r="C672" s="86">
        <v>1110500000</v>
      </c>
      <c r="D672" s="86"/>
      <c r="E672" s="87" t="s">
        <v>208</v>
      </c>
      <c r="F672" s="21">
        <f>F676+F673+F679</f>
        <v>24408.399999999998</v>
      </c>
      <c r="G672" s="21">
        <f t="shared" ref="G672:H672" si="239">G676+G673+G679</f>
        <v>0</v>
      </c>
      <c r="H672" s="21">
        <f t="shared" si="239"/>
        <v>0</v>
      </c>
    </row>
    <row r="673" spans="1:8" ht="47.25">
      <c r="A673" s="86" t="s">
        <v>10</v>
      </c>
      <c r="B673" s="86" t="s">
        <v>54</v>
      </c>
      <c r="C673" s="86">
        <v>1110510440</v>
      </c>
      <c r="D673" s="86"/>
      <c r="E673" s="87" t="s">
        <v>389</v>
      </c>
      <c r="F673" s="21">
        <f>F674</f>
        <v>17356.399999999998</v>
      </c>
      <c r="G673" s="21">
        <f t="shared" ref="G673:H674" si="240">G674</f>
        <v>0</v>
      </c>
      <c r="H673" s="21">
        <f t="shared" si="240"/>
        <v>0</v>
      </c>
    </row>
    <row r="674" spans="1:8" ht="31.5">
      <c r="A674" s="86" t="s">
        <v>10</v>
      </c>
      <c r="B674" s="86" t="s">
        <v>54</v>
      </c>
      <c r="C674" s="86">
        <v>1110510440</v>
      </c>
      <c r="D674" s="88" t="s">
        <v>104</v>
      </c>
      <c r="E674" s="87" t="s">
        <v>105</v>
      </c>
      <c r="F674" s="21">
        <f>F675</f>
        <v>17356.399999999998</v>
      </c>
      <c r="G674" s="21">
        <f t="shared" si="240"/>
        <v>0</v>
      </c>
      <c r="H674" s="21">
        <f t="shared" si="240"/>
        <v>0</v>
      </c>
    </row>
    <row r="675" spans="1:8">
      <c r="A675" s="86" t="s">
        <v>10</v>
      </c>
      <c r="B675" s="86" t="s">
        <v>54</v>
      </c>
      <c r="C675" s="86">
        <v>1110510440</v>
      </c>
      <c r="D675" s="86">
        <v>610</v>
      </c>
      <c r="E675" s="87" t="s">
        <v>115</v>
      </c>
      <c r="F675" s="21">
        <f>1205.3+16392.1-241</f>
        <v>17356.399999999998</v>
      </c>
      <c r="G675" s="21">
        <v>0</v>
      </c>
      <c r="H675" s="21">
        <v>0</v>
      </c>
    </row>
    <row r="676" spans="1:8" ht="33.75" customHeight="1">
      <c r="A676" s="86" t="s">
        <v>10</v>
      </c>
      <c r="B676" s="86" t="s">
        <v>54</v>
      </c>
      <c r="C676" s="86" t="s">
        <v>209</v>
      </c>
      <c r="D676" s="86"/>
      <c r="E676" s="87" t="s">
        <v>276</v>
      </c>
      <c r="F676" s="21">
        <f>F677</f>
        <v>5695.8</v>
      </c>
      <c r="G676" s="21">
        <f t="shared" ref="G676:H677" si="241">G677</f>
        <v>0</v>
      </c>
      <c r="H676" s="21">
        <f t="shared" si="241"/>
        <v>0</v>
      </c>
    </row>
    <row r="677" spans="1:8" ht="31.5">
      <c r="A677" s="86" t="s">
        <v>10</v>
      </c>
      <c r="B677" s="86" t="s">
        <v>54</v>
      </c>
      <c r="C677" s="86" t="s">
        <v>209</v>
      </c>
      <c r="D677" s="88" t="s">
        <v>104</v>
      </c>
      <c r="E677" s="87" t="s">
        <v>105</v>
      </c>
      <c r="F677" s="21">
        <f>F678</f>
        <v>5695.8</v>
      </c>
      <c r="G677" s="21">
        <f t="shared" si="241"/>
        <v>0</v>
      </c>
      <c r="H677" s="21">
        <f t="shared" si="241"/>
        <v>0</v>
      </c>
    </row>
    <row r="678" spans="1:8">
      <c r="A678" s="86" t="s">
        <v>10</v>
      </c>
      <c r="B678" s="86" t="s">
        <v>54</v>
      </c>
      <c r="C678" s="86" t="s">
        <v>209</v>
      </c>
      <c r="D678" s="86">
        <v>610</v>
      </c>
      <c r="E678" s="87" t="s">
        <v>115</v>
      </c>
      <c r="F678" s="21">
        <f>5776.5-5431.8+5431.8-80.7</f>
        <v>5695.8</v>
      </c>
      <c r="G678" s="21">
        <v>0</v>
      </c>
      <c r="H678" s="21">
        <v>0</v>
      </c>
    </row>
    <row r="679" spans="1:8" ht="18.75" customHeight="1">
      <c r="A679" s="86" t="s">
        <v>10</v>
      </c>
      <c r="B679" s="86" t="s">
        <v>54</v>
      </c>
      <c r="C679" s="10" t="s">
        <v>383</v>
      </c>
      <c r="D679" s="86"/>
      <c r="E679" s="66" t="s">
        <v>350</v>
      </c>
      <c r="F679" s="21">
        <f>F680</f>
        <v>1356.2</v>
      </c>
      <c r="G679" s="21">
        <f t="shared" ref="G679:H680" si="242">G680</f>
        <v>0</v>
      </c>
      <c r="H679" s="21">
        <f t="shared" si="242"/>
        <v>0</v>
      </c>
    </row>
    <row r="680" spans="1:8" ht="31.5">
      <c r="A680" s="86" t="s">
        <v>10</v>
      </c>
      <c r="B680" s="86" t="s">
        <v>54</v>
      </c>
      <c r="C680" s="10" t="s">
        <v>383</v>
      </c>
      <c r="D680" s="88" t="s">
        <v>104</v>
      </c>
      <c r="E680" s="87" t="s">
        <v>105</v>
      </c>
      <c r="F680" s="21">
        <f>F681</f>
        <v>1356.2</v>
      </c>
      <c r="G680" s="21">
        <f t="shared" si="242"/>
        <v>0</v>
      </c>
      <c r="H680" s="21">
        <f t="shared" si="242"/>
        <v>0</v>
      </c>
    </row>
    <row r="681" spans="1:8">
      <c r="A681" s="86" t="s">
        <v>10</v>
      </c>
      <c r="B681" s="86" t="s">
        <v>54</v>
      </c>
      <c r="C681" s="10" t="s">
        <v>383</v>
      </c>
      <c r="D681" s="86">
        <v>610</v>
      </c>
      <c r="E681" s="87" t="s">
        <v>115</v>
      </c>
      <c r="F681" s="21">
        <f>222.8+487.7+178.1+467.6</f>
        <v>1356.2</v>
      </c>
      <c r="G681" s="21">
        <v>0</v>
      </c>
      <c r="H681" s="21">
        <v>0</v>
      </c>
    </row>
    <row r="682" spans="1:8" ht="63">
      <c r="A682" s="128" t="s">
        <v>10</v>
      </c>
      <c r="B682" s="128" t="s">
        <v>54</v>
      </c>
      <c r="C682" s="128">
        <v>1110600000</v>
      </c>
      <c r="D682" s="128"/>
      <c r="E682" s="66" t="s">
        <v>477</v>
      </c>
      <c r="F682" s="21">
        <f>F683</f>
        <v>100.7</v>
      </c>
      <c r="G682" s="21">
        <f t="shared" ref="G682:H684" si="243">G683</f>
        <v>0</v>
      </c>
      <c r="H682" s="21">
        <f t="shared" si="243"/>
        <v>0</v>
      </c>
    </row>
    <row r="683" spans="1:8" ht="31.5">
      <c r="A683" s="128" t="s">
        <v>10</v>
      </c>
      <c r="B683" s="128" t="s">
        <v>54</v>
      </c>
      <c r="C683" s="128">
        <v>1110620030</v>
      </c>
      <c r="D683" s="128"/>
      <c r="E683" s="66" t="s">
        <v>476</v>
      </c>
      <c r="F683" s="21">
        <f>F684</f>
        <v>100.7</v>
      </c>
      <c r="G683" s="21">
        <f t="shared" si="243"/>
        <v>0</v>
      </c>
      <c r="H683" s="21">
        <f t="shared" si="243"/>
        <v>0</v>
      </c>
    </row>
    <row r="684" spans="1:8" ht="31.5">
      <c r="A684" s="128" t="s">
        <v>10</v>
      </c>
      <c r="B684" s="128" t="s">
        <v>54</v>
      </c>
      <c r="C684" s="128">
        <v>1110620030</v>
      </c>
      <c r="D684" s="130" t="s">
        <v>104</v>
      </c>
      <c r="E684" s="129" t="s">
        <v>105</v>
      </c>
      <c r="F684" s="21">
        <f>F685</f>
        <v>100.7</v>
      </c>
      <c r="G684" s="21">
        <f t="shared" si="243"/>
        <v>0</v>
      </c>
      <c r="H684" s="21">
        <f t="shared" si="243"/>
        <v>0</v>
      </c>
    </row>
    <row r="685" spans="1:8">
      <c r="A685" s="128" t="s">
        <v>10</v>
      </c>
      <c r="B685" s="128" t="s">
        <v>54</v>
      </c>
      <c r="C685" s="128">
        <v>1110620030</v>
      </c>
      <c r="D685" s="128">
        <v>610</v>
      </c>
      <c r="E685" s="129" t="s">
        <v>115</v>
      </c>
      <c r="F685" s="21">
        <v>100.7</v>
      </c>
      <c r="G685" s="21">
        <v>0</v>
      </c>
      <c r="H685" s="21">
        <v>0</v>
      </c>
    </row>
    <row r="686" spans="1:8">
      <c r="A686" s="86" t="s">
        <v>10</v>
      </c>
      <c r="B686" s="86" t="s">
        <v>54</v>
      </c>
      <c r="C686" s="86">
        <v>1120000000</v>
      </c>
      <c r="D686" s="86"/>
      <c r="E686" s="87" t="s">
        <v>133</v>
      </c>
      <c r="F686" s="21">
        <f>F687</f>
        <v>3790.2</v>
      </c>
      <c r="G686" s="21">
        <f t="shared" ref="G686:H689" si="244">G687</f>
        <v>3750.2</v>
      </c>
      <c r="H686" s="21">
        <f t="shared" si="244"/>
        <v>3750.2</v>
      </c>
    </row>
    <row r="687" spans="1:8" ht="47.25">
      <c r="A687" s="86" t="s">
        <v>10</v>
      </c>
      <c r="B687" s="86" t="s">
        <v>54</v>
      </c>
      <c r="C687" s="86">
        <v>1120100000</v>
      </c>
      <c r="D687" s="86"/>
      <c r="E687" s="87" t="s">
        <v>134</v>
      </c>
      <c r="F687" s="21">
        <f>F688</f>
        <v>3790.2</v>
      </c>
      <c r="G687" s="21">
        <f t="shared" si="244"/>
        <v>3750.2</v>
      </c>
      <c r="H687" s="21">
        <f t="shared" si="244"/>
        <v>3750.2</v>
      </c>
    </row>
    <row r="688" spans="1:8" ht="31.5">
      <c r="A688" s="86" t="s">
        <v>10</v>
      </c>
      <c r="B688" s="86" t="s">
        <v>54</v>
      </c>
      <c r="C688" s="86">
        <v>1120120010</v>
      </c>
      <c r="D688" s="86"/>
      <c r="E688" s="87" t="s">
        <v>135</v>
      </c>
      <c r="F688" s="21">
        <f>F689</f>
        <v>3790.2</v>
      </c>
      <c r="G688" s="21">
        <f t="shared" si="244"/>
        <v>3750.2</v>
      </c>
      <c r="H688" s="21">
        <f t="shared" si="244"/>
        <v>3750.2</v>
      </c>
    </row>
    <row r="689" spans="1:8" ht="31.5">
      <c r="A689" s="86" t="s">
        <v>10</v>
      </c>
      <c r="B689" s="86" t="s">
        <v>54</v>
      </c>
      <c r="C689" s="86">
        <v>1120120010</v>
      </c>
      <c r="D689" s="88" t="s">
        <v>104</v>
      </c>
      <c r="E689" s="87" t="s">
        <v>105</v>
      </c>
      <c r="F689" s="21">
        <f>F690</f>
        <v>3790.2</v>
      </c>
      <c r="G689" s="21">
        <f t="shared" si="244"/>
        <v>3750.2</v>
      </c>
      <c r="H689" s="21">
        <f t="shared" si="244"/>
        <v>3750.2</v>
      </c>
    </row>
    <row r="690" spans="1:8">
      <c r="A690" s="86" t="s">
        <v>10</v>
      </c>
      <c r="B690" s="86" t="s">
        <v>54</v>
      </c>
      <c r="C690" s="86">
        <v>1120120010</v>
      </c>
      <c r="D690" s="86">
        <v>610</v>
      </c>
      <c r="E690" s="87" t="s">
        <v>115</v>
      </c>
      <c r="F690" s="21">
        <f>3750.2+40</f>
        <v>3790.2</v>
      </c>
      <c r="G690" s="21">
        <v>3750.2</v>
      </c>
      <c r="H690" s="21">
        <v>3750.2</v>
      </c>
    </row>
    <row r="691" spans="1:8" ht="31.5">
      <c r="A691" s="86" t="s">
        <v>10</v>
      </c>
      <c r="B691" s="86" t="s">
        <v>54</v>
      </c>
      <c r="C691" s="86">
        <v>1130000000</v>
      </c>
      <c r="D691" s="86"/>
      <c r="E691" s="87" t="s">
        <v>126</v>
      </c>
      <c r="F691" s="21">
        <f>F692</f>
        <v>146.5</v>
      </c>
      <c r="G691" s="21">
        <f t="shared" ref="G691:H697" si="245">G692</f>
        <v>15.4</v>
      </c>
      <c r="H691" s="21">
        <f t="shared" si="245"/>
        <v>0</v>
      </c>
    </row>
    <row r="692" spans="1:8" ht="31.5">
      <c r="A692" s="86" t="s">
        <v>10</v>
      </c>
      <c r="B692" s="86" t="s">
        <v>54</v>
      </c>
      <c r="C692" s="86">
        <v>1130100000</v>
      </c>
      <c r="D692" s="86"/>
      <c r="E692" s="87" t="s">
        <v>263</v>
      </c>
      <c r="F692" s="21">
        <f>F696+F693</f>
        <v>146.5</v>
      </c>
      <c r="G692" s="21">
        <f t="shared" ref="G692:H692" si="246">G696+G693</f>
        <v>15.4</v>
      </c>
      <c r="H692" s="21">
        <f t="shared" si="246"/>
        <v>0</v>
      </c>
    </row>
    <row r="693" spans="1:8" ht="31.5">
      <c r="A693" s="86" t="s">
        <v>10</v>
      </c>
      <c r="B693" s="86" t="s">
        <v>54</v>
      </c>
      <c r="C693" s="88">
        <v>1130111080</v>
      </c>
      <c r="D693" s="86"/>
      <c r="E693" s="87" t="s">
        <v>379</v>
      </c>
      <c r="F693" s="21">
        <f>F694</f>
        <v>132.19999999999999</v>
      </c>
      <c r="G693" s="21">
        <f t="shared" ref="G693:H694" si="247">G694</f>
        <v>0</v>
      </c>
      <c r="H693" s="21">
        <f t="shared" si="247"/>
        <v>0</v>
      </c>
    </row>
    <row r="694" spans="1:8" ht="31.5">
      <c r="A694" s="86" t="s">
        <v>10</v>
      </c>
      <c r="B694" s="86" t="s">
        <v>54</v>
      </c>
      <c r="C694" s="88">
        <v>1130111080</v>
      </c>
      <c r="D694" s="88" t="s">
        <v>104</v>
      </c>
      <c r="E694" s="87" t="s">
        <v>105</v>
      </c>
      <c r="F694" s="21">
        <f>F695</f>
        <v>132.19999999999999</v>
      </c>
      <c r="G694" s="21">
        <f t="shared" si="247"/>
        <v>0</v>
      </c>
      <c r="H694" s="21">
        <f t="shared" si="247"/>
        <v>0</v>
      </c>
    </row>
    <row r="695" spans="1:8">
      <c r="A695" s="86" t="s">
        <v>10</v>
      </c>
      <c r="B695" s="86" t="s">
        <v>54</v>
      </c>
      <c r="C695" s="88">
        <v>1130111080</v>
      </c>
      <c r="D695" s="86">
        <v>610</v>
      </c>
      <c r="E695" s="87" t="s">
        <v>115</v>
      </c>
      <c r="F695" s="21">
        <f>105.7+26.5</f>
        <v>132.19999999999999</v>
      </c>
      <c r="G695" s="21">
        <v>0</v>
      </c>
      <c r="H695" s="21">
        <v>0</v>
      </c>
    </row>
    <row r="696" spans="1:8" ht="31.5">
      <c r="A696" s="86" t="s">
        <v>10</v>
      </c>
      <c r="B696" s="86" t="s">
        <v>54</v>
      </c>
      <c r="C696" s="88" t="s">
        <v>326</v>
      </c>
      <c r="D696" s="86"/>
      <c r="E696" s="87" t="s">
        <v>327</v>
      </c>
      <c r="F696" s="21">
        <f>F697</f>
        <v>14.299999999999999</v>
      </c>
      <c r="G696" s="21">
        <f t="shared" si="245"/>
        <v>15.4</v>
      </c>
      <c r="H696" s="21">
        <f t="shared" si="245"/>
        <v>0</v>
      </c>
    </row>
    <row r="697" spans="1:8" ht="31.5">
      <c r="A697" s="86" t="s">
        <v>10</v>
      </c>
      <c r="B697" s="86" t="s">
        <v>54</v>
      </c>
      <c r="C697" s="88" t="s">
        <v>326</v>
      </c>
      <c r="D697" s="88" t="s">
        <v>104</v>
      </c>
      <c r="E697" s="87" t="s">
        <v>105</v>
      </c>
      <c r="F697" s="21">
        <f>F698</f>
        <v>14.299999999999999</v>
      </c>
      <c r="G697" s="21">
        <f t="shared" si="245"/>
        <v>15.4</v>
      </c>
      <c r="H697" s="21">
        <f t="shared" si="245"/>
        <v>0</v>
      </c>
    </row>
    <row r="698" spans="1:8">
      <c r="A698" s="86" t="s">
        <v>10</v>
      </c>
      <c r="B698" s="86" t="s">
        <v>54</v>
      </c>
      <c r="C698" s="88" t="s">
        <v>326</v>
      </c>
      <c r="D698" s="86">
        <v>610</v>
      </c>
      <c r="E698" s="87" t="s">
        <v>115</v>
      </c>
      <c r="F698" s="21">
        <f>15.4-3.7+2.6</f>
        <v>14.299999999999999</v>
      </c>
      <c r="G698" s="21">
        <v>15.4</v>
      </c>
      <c r="H698" s="21">
        <v>0</v>
      </c>
    </row>
    <row r="699" spans="1:8" ht="31.5">
      <c r="A699" s="2" t="s">
        <v>10</v>
      </c>
      <c r="B699" s="86" t="s">
        <v>54</v>
      </c>
      <c r="C699" s="88">
        <v>1500000000</v>
      </c>
      <c r="D699" s="86"/>
      <c r="E699" s="66" t="s">
        <v>217</v>
      </c>
      <c r="F699" s="21">
        <f>F700</f>
        <v>563.4</v>
      </c>
      <c r="G699" s="21">
        <f t="shared" ref="G699:H706" si="248">G700</f>
        <v>0</v>
      </c>
      <c r="H699" s="21">
        <f t="shared" si="248"/>
        <v>0</v>
      </c>
    </row>
    <row r="700" spans="1:8" ht="31.5">
      <c r="A700" s="2" t="s">
        <v>10</v>
      </c>
      <c r="B700" s="86" t="s">
        <v>54</v>
      </c>
      <c r="C700" s="88">
        <v>1520000000</v>
      </c>
      <c r="D700" s="86"/>
      <c r="E700" s="66" t="s">
        <v>360</v>
      </c>
      <c r="F700" s="21">
        <f>F701</f>
        <v>563.4</v>
      </c>
      <c r="G700" s="21">
        <f t="shared" si="248"/>
        <v>0</v>
      </c>
      <c r="H700" s="21">
        <f t="shared" si="248"/>
        <v>0</v>
      </c>
    </row>
    <row r="701" spans="1:8" ht="63">
      <c r="A701" s="2" t="s">
        <v>10</v>
      </c>
      <c r="B701" s="86" t="s">
        <v>54</v>
      </c>
      <c r="C701" s="86">
        <v>1520100000</v>
      </c>
      <c r="D701" s="86"/>
      <c r="E701" s="66" t="s">
        <v>361</v>
      </c>
      <c r="F701" s="21">
        <f>F705+F702+F708</f>
        <v>563.4</v>
      </c>
      <c r="G701" s="21">
        <f t="shared" ref="G701:H701" si="249">G705+G702+G708</f>
        <v>0</v>
      </c>
      <c r="H701" s="21">
        <f t="shared" si="249"/>
        <v>0</v>
      </c>
    </row>
    <row r="702" spans="1:8" ht="47.25">
      <c r="A702" s="2" t="s">
        <v>10</v>
      </c>
      <c r="B702" s="86" t="s">
        <v>54</v>
      </c>
      <c r="C702" s="86">
        <v>1520110440</v>
      </c>
      <c r="D702" s="86"/>
      <c r="E702" s="87" t="s">
        <v>389</v>
      </c>
      <c r="F702" s="21">
        <f>F703</f>
        <v>217.5</v>
      </c>
      <c r="G702" s="21">
        <f t="shared" ref="G702:H703" si="250">G703</f>
        <v>0</v>
      </c>
      <c r="H702" s="21">
        <f t="shared" si="250"/>
        <v>0</v>
      </c>
    </row>
    <row r="703" spans="1:8" ht="31.5">
      <c r="A703" s="86" t="s">
        <v>10</v>
      </c>
      <c r="B703" s="86" t="s">
        <v>54</v>
      </c>
      <c r="C703" s="10" t="s">
        <v>388</v>
      </c>
      <c r="D703" s="88" t="s">
        <v>104</v>
      </c>
      <c r="E703" s="87" t="s">
        <v>105</v>
      </c>
      <c r="F703" s="21">
        <f>F704</f>
        <v>217.5</v>
      </c>
      <c r="G703" s="21">
        <f t="shared" si="250"/>
        <v>0</v>
      </c>
      <c r="H703" s="21">
        <f t="shared" si="250"/>
        <v>0</v>
      </c>
    </row>
    <row r="704" spans="1:8">
      <c r="A704" s="86" t="s">
        <v>10</v>
      </c>
      <c r="B704" s="86" t="s">
        <v>54</v>
      </c>
      <c r="C704" s="10" t="s">
        <v>388</v>
      </c>
      <c r="D704" s="86">
        <v>610</v>
      </c>
      <c r="E704" s="87" t="s">
        <v>115</v>
      </c>
      <c r="F704" s="21">
        <f>326.3-108.8</f>
        <v>217.5</v>
      </c>
      <c r="G704" s="21">
        <v>0</v>
      </c>
      <c r="H704" s="21">
        <v>0</v>
      </c>
    </row>
    <row r="705" spans="1:8" ht="33.75" customHeight="1">
      <c r="A705" s="2" t="s">
        <v>10</v>
      </c>
      <c r="B705" s="86" t="s">
        <v>54</v>
      </c>
      <c r="C705" s="86" t="s">
        <v>362</v>
      </c>
      <c r="D705" s="86"/>
      <c r="E705" s="87" t="s">
        <v>276</v>
      </c>
      <c r="F705" s="21">
        <f>F706</f>
        <v>231.10000000000002</v>
      </c>
      <c r="G705" s="21">
        <f t="shared" si="248"/>
        <v>0</v>
      </c>
      <c r="H705" s="21">
        <f t="shared" si="248"/>
        <v>0</v>
      </c>
    </row>
    <row r="706" spans="1:8" ht="31.5">
      <c r="A706" s="86" t="s">
        <v>10</v>
      </c>
      <c r="B706" s="86" t="s">
        <v>54</v>
      </c>
      <c r="C706" s="10" t="s">
        <v>362</v>
      </c>
      <c r="D706" s="88" t="s">
        <v>104</v>
      </c>
      <c r="E706" s="87" t="s">
        <v>105</v>
      </c>
      <c r="F706" s="21">
        <f>F707</f>
        <v>231.10000000000002</v>
      </c>
      <c r="G706" s="21">
        <f t="shared" si="248"/>
        <v>0</v>
      </c>
      <c r="H706" s="21">
        <f t="shared" si="248"/>
        <v>0</v>
      </c>
    </row>
    <row r="707" spans="1:8">
      <c r="A707" s="86" t="s">
        <v>10</v>
      </c>
      <c r="B707" s="86" t="s">
        <v>54</v>
      </c>
      <c r="C707" s="10" t="s">
        <v>362</v>
      </c>
      <c r="D707" s="86">
        <v>610</v>
      </c>
      <c r="E707" s="87" t="s">
        <v>115</v>
      </c>
      <c r="F707" s="21">
        <f>326.3-95.2</f>
        <v>231.10000000000002</v>
      </c>
      <c r="G707" s="21">
        <v>0</v>
      </c>
      <c r="H707" s="21">
        <v>0</v>
      </c>
    </row>
    <row r="708" spans="1:8" ht="31.5">
      <c r="A708" s="2" t="s">
        <v>10</v>
      </c>
      <c r="B708" s="128" t="s">
        <v>54</v>
      </c>
      <c r="C708" s="10" t="s">
        <v>480</v>
      </c>
      <c r="D708" s="128"/>
      <c r="E708" s="66" t="s">
        <v>481</v>
      </c>
      <c r="F708" s="21">
        <f>F709</f>
        <v>114.8</v>
      </c>
      <c r="G708" s="21">
        <f t="shared" ref="G708:H709" si="251">G709</f>
        <v>0</v>
      </c>
      <c r="H708" s="21">
        <f t="shared" si="251"/>
        <v>0</v>
      </c>
    </row>
    <row r="709" spans="1:8" ht="31.5">
      <c r="A709" s="128" t="s">
        <v>10</v>
      </c>
      <c r="B709" s="128" t="s">
        <v>54</v>
      </c>
      <c r="C709" s="10" t="s">
        <v>480</v>
      </c>
      <c r="D709" s="130" t="s">
        <v>104</v>
      </c>
      <c r="E709" s="66" t="s">
        <v>105</v>
      </c>
      <c r="F709" s="21">
        <f>F710</f>
        <v>114.8</v>
      </c>
      <c r="G709" s="21">
        <f t="shared" si="251"/>
        <v>0</v>
      </c>
      <c r="H709" s="21">
        <f t="shared" si="251"/>
        <v>0</v>
      </c>
    </row>
    <row r="710" spans="1:8">
      <c r="A710" s="128" t="s">
        <v>10</v>
      </c>
      <c r="B710" s="128" t="s">
        <v>54</v>
      </c>
      <c r="C710" s="10" t="s">
        <v>480</v>
      </c>
      <c r="D710" s="128">
        <v>610</v>
      </c>
      <c r="E710" s="66" t="s">
        <v>115</v>
      </c>
      <c r="F710" s="21">
        <v>114.8</v>
      </c>
      <c r="G710" s="21">
        <v>0</v>
      </c>
      <c r="H710" s="21">
        <v>0</v>
      </c>
    </row>
    <row r="711" spans="1:8">
      <c r="A711" s="86" t="s">
        <v>10</v>
      </c>
      <c r="B711" s="86" t="s">
        <v>54</v>
      </c>
      <c r="C711" s="86">
        <v>9900000000</v>
      </c>
      <c r="D711" s="86"/>
      <c r="E711" s="66" t="s">
        <v>116</v>
      </c>
      <c r="F711" s="21">
        <f>F712</f>
        <v>400.1</v>
      </c>
      <c r="G711" s="21">
        <f t="shared" ref="G711:H714" si="252">G712</f>
        <v>0</v>
      </c>
      <c r="H711" s="21">
        <f t="shared" si="252"/>
        <v>0</v>
      </c>
    </row>
    <row r="712" spans="1:8" ht="47.25">
      <c r="A712" s="86" t="s">
        <v>10</v>
      </c>
      <c r="B712" s="86" t="s">
        <v>54</v>
      </c>
      <c r="C712" s="86">
        <v>9920000000</v>
      </c>
      <c r="D712" s="86"/>
      <c r="E712" s="66" t="s">
        <v>408</v>
      </c>
      <c r="F712" s="21">
        <f>F713</f>
        <v>400.1</v>
      </c>
      <c r="G712" s="21">
        <f t="shared" si="252"/>
        <v>0</v>
      </c>
      <c r="H712" s="21">
        <f t="shared" si="252"/>
        <v>0</v>
      </c>
    </row>
    <row r="713" spans="1:8" ht="47.25">
      <c r="A713" s="86" t="s">
        <v>10</v>
      </c>
      <c r="B713" s="86" t="s">
        <v>54</v>
      </c>
      <c r="C713" s="86">
        <v>9920010920</v>
      </c>
      <c r="D713" s="86"/>
      <c r="E713" s="66" t="s">
        <v>409</v>
      </c>
      <c r="F713" s="21">
        <f>F714</f>
        <v>400.1</v>
      </c>
      <c r="G713" s="21">
        <f t="shared" si="252"/>
        <v>0</v>
      </c>
      <c r="H713" s="21">
        <f t="shared" si="252"/>
        <v>0</v>
      </c>
    </row>
    <row r="714" spans="1:8" ht="31.5">
      <c r="A714" s="2" t="s">
        <v>10</v>
      </c>
      <c r="B714" s="86" t="s">
        <v>54</v>
      </c>
      <c r="C714" s="86">
        <v>9920010920</v>
      </c>
      <c r="D714" s="88" t="s">
        <v>104</v>
      </c>
      <c r="E714" s="66" t="s">
        <v>105</v>
      </c>
      <c r="F714" s="21">
        <f>F715</f>
        <v>400.1</v>
      </c>
      <c r="G714" s="21">
        <f t="shared" si="252"/>
        <v>0</v>
      </c>
      <c r="H714" s="21">
        <f t="shared" si="252"/>
        <v>0</v>
      </c>
    </row>
    <row r="715" spans="1:8">
      <c r="A715" s="2" t="s">
        <v>10</v>
      </c>
      <c r="B715" s="86" t="s">
        <v>54</v>
      </c>
      <c r="C715" s="86">
        <v>9920010920</v>
      </c>
      <c r="D715" s="86">
        <v>610</v>
      </c>
      <c r="E715" s="66" t="s">
        <v>115</v>
      </c>
      <c r="F715" s="21">
        <f>200.1+200</f>
        <v>400.1</v>
      </c>
      <c r="G715" s="21">
        <v>0</v>
      </c>
      <c r="H715" s="21">
        <v>0</v>
      </c>
    </row>
    <row r="716" spans="1:8">
      <c r="A716" s="86" t="s">
        <v>10</v>
      </c>
      <c r="B716" s="86" t="s">
        <v>97</v>
      </c>
      <c r="C716" s="86" t="s">
        <v>69</v>
      </c>
      <c r="D716" s="86" t="s">
        <v>69</v>
      </c>
      <c r="E716" s="87" t="s">
        <v>98</v>
      </c>
      <c r="F716" s="21">
        <f>F717+F735</f>
        <v>12108.3</v>
      </c>
      <c r="G716" s="21">
        <f>G717+G735</f>
        <v>8509.2000000000007</v>
      </c>
      <c r="H716" s="21">
        <f>H717+H735</f>
        <v>8509.2000000000007</v>
      </c>
    </row>
    <row r="717" spans="1:8" ht="39" customHeight="1">
      <c r="A717" s="86" t="s">
        <v>10</v>
      </c>
      <c r="B717" s="86" t="s">
        <v>97</v>
      </c>
      <c r="C717" s="88">
        <v>1100000000</v>
      </c>
      <c r="D717" s="86"/>
      <c r="E717" s="87" t="s">
        <v>221</v>
      </c>
      <c r="F717" s="21">
        <f t="shared" ref="F717:H727" si="253">F718</f>
        <v>12008.3</v>
      </c>
      <c r="G717" s="21">
        <f t="shared" si="253"/>
        <v>8509.2000000000007</v>
      </c>
      <c r="H717" s="21">
        <f t="shared" si="253"/>
        <v>8509.2000000000007</v>
      </c>
    </row>
    <row r="718" spans="1:8">
      <c r="A718" s="86" t="s">
        <v>10</v>
      </c>
      <c r="B718" s="86" t="s">
        <v>97</v>
      </c>
      <c r="C718" s="86">
        <v>1120000000</v>
      </c>
      <c r="D718" s="86"/>
      <c r="E718" s="87" t="s">
        <v>133</v>
      </c>
      <c r="F718" s="21">
        <f>F719</f>
        <v>12008.3</v>
      </c>
      <c r="G718" s="21">
        <f t="shared" si="253"/>
        <v>8509.2000000000007</v>
      </c>
      <c r="H718" s="21">
        <f t="shared" si="253"/>
        <v>8509.2000000000007</v>
      </c>
    </row>
    <row r="719" spans="1:8" ht="47.25">
      <c r="A719" s="2" t="s">
        <v>10</v>
      </c>
      <c r="B719" s="86" t="s">
        <v>97</v>
      </c>
      <c r="C719" s="86">
        <v>1120100000</v>
      </c>
      <c r="D719" s="86"/>
      <c r="E719" s="87" t="s">
        <v>134</v>
      </c>
      <c r="F719" s="21">
        <f>F726+F720+F729+F723+F732</f>
        <v>12008.3</v>
      </c>
      <c r="G719" s="21">
        <f>G726+G720+G729+G723+G732</f>
        <v>8509.2000000000007</v>
      </c>
      <c r="H719" s="21">
        <f>H726+H720+H729+H723+H732</f>
        <v>8509.2000000000007</v>
      </c>
    </row>
    <row r="720" spans="1:8" ht="47.25">
      <c r="A720" s="86" t="s">
        <v>10</v>
      </c>
      <c r="B720" s="86" t="s">
        <v>97</v>
      </c>
      <c r="C720" s="86">
        <v>1120110690</v>
      </c>
      <c r="D720" s="86"/>
      <c r="E720" s="66" t="s">
        <v>404</v>
      </c>
      <c r="F720" s="21">
        <f>F721</f>
        <v>3230</v>
      </c>
      <c r="G720" s="21">
        <f t="shared" ref="G720:H721" si="254">G721</f>
        <v>0</v>
      </c>
      <c r="H720" s="21">
        <f t="shared" si="254"/>
        <v>0</v>
      </c>
    </row>
    <row r="721" spans="1:8" ht="31.5">
      <c r="A721" s="86" t="s">
        <v>10</v>
      </c>
      <c r="B721" s="86" t="s">
        <v>97</v>
      </c>
      <c r="C721" s="86">
        <v>1120110690</v>
      </c>
      <c r="D721" s="88" t="s">
        <v>104</v>
      </c>
      <c r="E721" s="66" t="s">
        <v>105</v>
      </c>
      <c r="F721" s="21">
        <f>F722</f>
        <v>3230</v>
      </c>
      <c r="G721" s="21">
        <f t="shared" si="254"/>
        <v>0</v>
      </c>
      <c r="H721" s="21">
        <f t="shared" si="254"/>
        <v>0</v>
      </c>
    </row>
    <row r="722" spans="1:8">
      <c r="A722" s="2" t="s">
        <v>10</v>
      </c>
      <c r="B722" s="86" t="s">
        <v>97</v>
      </c>
      <c r="C722" s="86">
        <v>1120110690</v>
      </c>
      <c r="D722" s="86">
        <v>610</v>
      </c>
      <c r="E722" s="66" t="s">
        <v>115</v>
      </c>
      <c r="F722" s="21">
        <f>2812+418</f>
        <v>3230</v>
      </c>
      <c r="G722" s="21">
        <v>0</v>
      </c>
      <c r="H722" s="21">
        <v>0</v>
      </c>
    </row>
    <row r="723" spans="1:8" ht="63">
      <c r="A723" s="9" t="s">
        <v>10</v>
      </c>
      <c r="B723" s="86" t="s">
        <v>97</v>
      </c>
      <c r="C723" s="10" t="s">
        <v>415</v>
      </c>
      <c r="D723" s="11"/>
      <c r="E723" s="8" t="s">
        <v>416</v>
      </c>
      <c r="F723" s="21">
        <f>F724</f>
        <v>548.20000000000005</v>
      </c>
      <c r="G723" s="21">
        <f t="shared" ref="G723:G724" si="255">G724</f>
        <v>0</v>
      </c>
      <c r="H723" s="21">
        <f t="shared" ref="H723:H724" si="256">H724</f>
        <v>0</v>
      </c>
    </row>
    <row r="724" spans="1:8" ht="31.5">
      <c r="A724" s="9" t="s">
        <v>10</v>
      </c>
      <c r="B724" s="86" t="s">
        <v>97</v>
      </c>
      <c r="C724" s="10" t="s">
        <v>415</v>
      </c>
      <c r="D724" s="88" t="s">
        <v>104</v>
      </c>
      <c r="E724" s="66" t="s">
        <v>105</v>
      </c>
      <c r="F724" s="21">
        <f>F725</f>
        <v>548.20000000000005</v>
      </c>
      <c r="G724" s="21">
        <f t="shared" si="255"/>
        <v>0</v>
      </c>
      <c r="H724" s="21">
        <f t="shared" si="256"/>
        <v>0</v>
      </c>
    </row>
    <row r="725" spans="1:8">
      <c r="A725" s="9" t="s">
        <v>10</v>
      </c>
      <c r="B725" s="86" t="s">
        <v>97</v>
      </c>
      <c r="C725" s="10" t="s">
        <v>415</v>
      </c>
      <c r="D725" s="86">
        <v>610</v>
      </c>
      <c r="E725" s="66" t="s">
        <v>115</v>
      </c>
      <c r="F725" s="21">
        <f>548.2</f>
        <v>548.20000000000005</v>
      </c>
      <c r="G725" s="21">
        <v>0</v>
      </c>
      <c r="H725" s="21">
        <v>0</v>
      </c>
    </row>
    <row r="726" spans="1:8" ht="31.5">
      <c r="A726" s="2" t="s">
        <v>10</v>
      </c>
      <c r="B726" s="86" t="s">
        <v>97</v>
      </c>
      <c r="C726" s="86">
        <v>1120120010</v>
      </c>
      <c r="D726" s="86"/>
      <c r="E726" s="87" t="s">
        <v>135</v>
      </c>
      <c r="F726" s="21">
        <f t="shared" si="253"/>
        <v>8192.2999999999993</v>
      </c>
      <c r="G726" s="21">
        <f t="shared" si="253"/>
        <v>8509.2000000000007</v>
      </c>
      <c r="H726" s="21">
        <f t="shared" si="253"/>
        <v>8509.2000000000007</v>
      </c>
    </row>
    <row r="727" spans="1:8" ht="31.5">
      <c r="A727" s="2" t="s">
        <v>10</v>
      </c>
      <c r="B727" s="86" t="s">
        <v>97</v>
      </c>
      <c r="C727" s="86">
        <v>1120120010</v>
      </c>
      <c r="D727" s="88" t="s">
        <v>104</v>
      </c>
      <c r="E727" s="87" t="s">
        <v>105</v>
      </c>
      <c r="F727" s="21">
        <f t="shared" si="253"/>
        <v>8192.2999999999993</v>
      </c>
      <c r="G727" s="21">
        <f t="shared" si="253"/>
        <v>8509.2000000000007</v>
      </c>
      <c r="H727" s="21">
        <f t="shared" si="253"/>
        <v>8509.2000000000007</v>
      </c>
    </row>
    <row r="728" spans="1:8">
      <c r="A728" s="86" t="s">
        <v>10</v>
      </c>
      <c r="B728" s="86" t="s">
        <v>97</v>
      </c>
      <c r="C728" s="86">
        <v>1120120010</v>
      </c>
      <c r="D728" s="86">
        <v>610</v>
      </c>
      <c r="E728" s="87" t="s">
        <v>115</v>
      </c>
      <c r="F728" s="21">
        <f>8509.2+20.4-28.1-5.5-4.2-299.5</f>
        <v>8192.2999999999993</v>
      </c>
      <c r="G728" s="21">
        <v>8509.2000000000007</v>
      </c>
      <c r="H728" s="21">
        <v>8509.2000000000007</v>
      </c>
    </row>
    <row r="729" spans="1:8" ht="47.25">
      <c r="A729" s="86" t="s">
        <v>10</v>
      </c>
      <c r="B729" s="86" t="s">
        <v>97</v>
      </c>
      <c r="C729" s="86" t="s">
        <v>405</v>
      </c>
      <c r="D729" s="86"/>
      <c r="E729" s="66" t="s">
        <v>406</v>
      </c>
      <c r="F729" s="21">
        <f>F730</f>
        <v>32.300000000000004</v>
      </c>
      <c r="G729" s="21">
        <f t="shared" ref="G729:H730" si="257">G730</f>
        <v>0</v>
      </c>
      <c r="H729" s="21">
        <f t="shared" si="257"/>
        <v>0</v>
      </c>
    </row>
    <row r="730" spans="1:8" ht="31.5">
      <c r="A730" s="86" t="s">
        <v>10</v>
      </c>
      <c r="B730" s="86" t="s">
        <v>97</v>
      </c>
      <c r="C730" s="86" t="s">
        <v>405</v>
      </c>
      <c r="D730" s="88" t="s">
        <v>104</v>
      </c>
      <c r="E730" s="66" t="s">
        <v>105</v>
      </c>
      <c r="F730" s="21">
        <f>F731</f>
        <v>32.300000000000004</v>
      </c>
      <c r="G730" s="21">
        <f t="shared" si="257"/>
        <v>0</v>
      </c>
      <c r="H730" s="21">
        <f t="shared" si="257"/>
        <v>0</v>
      </c>
    </row>
    <row r="731" spans="1:8">
      <c r="A731" s="2" t="s">
        <v>10</v>
      </c>
      <c r="B731" s="86" t="s">
        <v>97</v>
      </c>
      <c r="C731" s="86" t="s">
        <v>405</v>
      </c>
      <c r="D731" s="86">
        <v>610</v>
      </c>
      <c r="E731" s="66" t="s">
        <v>115</v>
      </c>
      <c r="F731" s="21">
        <f>28.1+4.2</f>
        <v>32.300000000000004</v>
      </c>
      <c r="G731" s="21">
        <v>0</v>
      </c>
      <c r="H731" s="21">
        <v>0</v>
      </c>
    </row>
    <row r="732" spans="1:8" ht="45.75" customHeight="1">
      <c r="A732" s="2" t="s">
        <v>10</v>
      </c>
      <c r="B732" s="86" t="s">
        <v>97</v>
      </c>
      <c r="C732" s="10" t="s">
        <v>418</v>
      </c>
      <c r="D732" s="11"/>
      <c r="E732" s="8" t="s">
        <v>417</v>
      </c>
      <c r="F732" s="21">
        <f>F733</f>
        <v>5.5</v>
      </c>
      <c r="G732" s="21">
        <f t="shared" ref="G732:H733" si="258">G733</f>
        <v>0</v>
      </c>
      <c r="H732" s="21">
        <f t="shared" si="258"/>
        <v>0</v>
      </c>
    </row>
    <row r="733" spans="1:8" ht="31.5">
      <c r="A733" s="2" t="s">
        <v>10</v>
      </c>
      <c r="B733" s="86" t="s">
        <v>97</v>
      </c>
      <c r="C733" s="10" t="s">
        <v>418</v>
      </c>
      <c r="D733" s="88" t="s">
        <v>104</v>
      </c>
      <c r="E733" s="66" t="s">
        <v>105</v>
      </c>
      <c r="F733" s="21">
        <f>F734</f>
        <v>5.5</v>
      </c>
      <c r="G733" s="21">
        <f t="shared" si="258"/>
        <v>0</v>
      </c>
      <c r="H733" s="21">
        <f t="shared" si="258"/>
        <v>0</v>
      </c>
    </row>
    <row r="734" spans="1:8">
      <c r="A734" s="86" t="s">
        <v>10</v>
      </c>
      <c r="B734" s="86" t="s">
        <v>97</v>
      </c>
      <c r="C734" s="10" t="s">
        <v>418</v>
      </c>
      <c r="D734" s="86">
        <v>610</v>
      </c>
      <c r="E734" s="66" t="s">
        <v>115</v>
      </c>
      <c r="F734" s="21">
        <v>5.5</v>
      </c>
      <c r="G734" s="21">
        <v>0</v>
      </c>
      <c r="H734" s="21">
        <v>0</v>
      </c>
    </row>
    <row r="735" spans="1:8">
      <c r="A735" s="2" t="s">
        <v>10</v>
      </c>
      <c r="B735" s="86" t="s">
        <v>97</v>
      </c>
      <c r="C735" s="86">
        <v>9900000000</v>
      </c>
      <c r="D735" s="86"/>
      <c r="E735" s="66" t="s">
        <v>116</v>
      </c>
      <c r="F735" s="21">
        <f>F736</f>
        <v>100</v>
      </c>
      <c r="G735" s="21">
        <f t="shared" ref="G735:G738" si="259">G736</f>
        <v>0</v>
      </c>
      <c r="H735" s="21">
        <f t="shared" ref="H735:H738" si="260">H736</f>
        <v>0</v>
      </c>
    </row>
    <row r="736" spans="1:8" ht="47.25">
      <c r="A736" s="86" t="s">
        <v>10</v>
      </c>
      <c r="B736" s="86" t="s">
        <v>97</v>
      </c>
      <c r="C736" s="86">
        <v>9920000000</v>
      </c>
      <c r="D736" s="86"/>
      <c r="E736" s="66" t="s">
        <v>408</v>
      </c>
      <c r="F736" s="21">
        <f>F737</f>
        <v>100</v>
      </c>
      <c r="G736" s="21">
        <f t="shared" si="259"/>
        <v>0</v>
      </c>
      <c r="H736" s="21">
        <f t="shared" si="260"/>
        <v>0</v>
      </c>
    </row>
    <row r="737" spans="1:8" ht="47.25">
      <c r="A737" s="86" t="s">
        <v>10</v>
      </c>
      <c r="B737" s="86" t="s">
        <v>97</v>
      </c>
      <c r="C737" s="86">
        <v>9920010920</v>
      </c>
      <c r="D737" s="86"/>
      <c r="E737" s="66" t="s">
        <v>409</v>
      </c>
      <c r="F737" s="21">
        <f>F738</f>
        <v>100</v>
      </c>
      <c r="G737" s="21">
        <f t="shared" si="259"/>
        <v>0</v>
      </c>
      <c r="H737" s="21">
        <f t="shared" si="260"/>
        <v>0</v>
      </c>
    </row>
    <row r="738" spans="1:8" ht="31.5">
      <c r="A738" s="86" t="s">
        <v>10</v>
      </c>
      <c r="B738" s="86" t="s">
        <v>97</v>
      </c>
      <c r="C738" s="86">
        <v>9920010920</v>
      </c>
      <c r="D738" s="88" t="s">
        <v>104</v>
      </c>
      <c r="E738" s="66" t="s">
        <v>105</v>
      </c>
      <c r="F738" s="21">
        <f>F739</f>
        <v>100</v>
      </c>
      <c r="G738" s="21">
        <f t="shared" si="259"/>
        <v>0</v>
      </c>
      <c r="H738" s="21">
        <f t="shared" si="260"/>
        <v>0</v>
      </c>
    </row>
    <row r="739" spans="1:8">
      <c r="A739" s="2" t="s">
        <v>10</v>
      </c>
      <c r="B739" s="86" t="s">
        <v>97</v>
      </c>
      <c r="C739" s="86">
        <v>9920010920</v>
      </c>
      <c r="D739" s="86">
        <v>610</v>
      </c>
      <c r="E739" s="66" t="s">
        <v>115</v>
      </c>
      <c r="F739" s="21">
        <v>100</v>
      </c>
      <c r="G739" s="21">
        <v>0</v>
      </c>
      <c r="H739" s="21">
        <v>0</v>
      </c>
    </row>
    <row r="740" spans="1:8">
      <c r="A740" s="86" t="s">
        <v>10</v>
      </c>
      <c r="B740" s="86" t="s">
        <v>40</v>
      </c>
      <c r="C740" s="86" t="s">
        <v>69</v>
      </c>
      <c r="D740" s="86" t="s">
        <v>69</v>
      </c>
      <c r="E740" s="87" t="s">
        <v>106</v>
      </c>
      <c r="F740" s="21">
        <f t="shared" ref="F740:H750" si="261">F741</f>
        <v>3152.5999999999995</v>
      </c>
      <c r="G740" s="21">
        <f t="shared" si="261"/>
        <v>159</v>
      </c>
      <c r="H740" s="21">
        <f t="shared" si="261"/>
        <v>0</v>
      </c>
    </row>
    <row r="741" spans="1:8" ht="36.6" customHeight="1">
      <c r="A741" s="86" t="s">
        <v>10</v>
      </c>
      <c r="B741" s="86" t="s">
        <v>40</v>
      </c>
      <c r="C741" s="88">
        <v>1100000000</v>
      </c>
      <c r="D741" s="86"/>
      <c r="E741" s="87" t="s">
        <v>221</v>
      </c>
      <c r="F741" s="21">
        <f t="shared" si="261"/>
        <v>3152.5999999999995</v>
      </c>
      <c r="G741" s="21">
        <f t="shared" si="261"/>
        <v>159</v>
      </c>
      <c r="H741" s="21">
        <f t="shared" si="261"/>
        <v>0</v>
      </c>
    </row>
    <row r="742" spans="1:8">
      <c r="A742" s="86" t="s">
        <v>10</v>
      </c>
      <c r="B742" s="86" t="s">
        <v>40</v>
      </c>
      <c r="C742" s="86">
        <v>1110000000</v>
      </c>
      <c r="D742" s="86"/>
      <c r="E742" s="87" t="s">
        <v>200</v>
      </c>
      <c r="F742" s="21">
        <f t="shared" si="261"/>
        <v>3152.5999999999995</v>
      </c>
      <c r="G742" s="21">
        <f t="shared" si="261"/>
        <v>159</v>
      </c>
      <c r="H742" s="21">
        <f t="shared" si="261"/>
        <v>0</v>
      </c>
    </row>
    <row r="743" spans="1:8">
      <c r="A743" s="86" t="s">
        <v>10</v>
      </c>
      <c r="B743" s="86" t="s">
        <v>40</v>
      </c>
      <c r="C743" s="86">
        <v>1110400000</v>
      </c>
      <c r="D743" s="86"/>
      <c r="E743" s="87" t="s">
        <v>210</v>
      </c>
      <c r="F743" s="21">
        <f>F749+F744</f>
        <v>3152.5999999999995</v>
      </c>
      <c r="G743" s="21">
        <f t="shared" ref="G743:H743" si="262">G749+G744</f>
        <v>159</v>
      </c>
      <c r="H743" s="21">
        <f t="shared" si="262"/>
        <v>0</v>
      </c>
    </row>
    <row r="744" spans="1:8" ht="31.5">
      <c r="A744" s="86" t="s">
        <v>10</v>
      </c>
      <c r="B744" s="86" t="s">
        <v>40</v>
      </c>
      <c r="C744" s="86">
        <v>1110410240</v>
      </c>
      <c r="D744" s="86"/>
      <c r="E744" s="66" t="s">
        <v>380</v>
      </c>
      <c r="F744" s="21">
        <f>F745+F747</f>
        <v>2973.6999999999994</v>
      </c>
      <c r="G744" s="21">
        <f t="shared" ref="G744:H744" si="263">G745+G747</f>
        <v>0</v>
      </c>
      <c r="H744" s="21">
        <f t="shared" si="263"/>
        <v>0</v>
      </c>
    </row>
    <row r="745" spans="1:8">
      <c r="A745" s="86" t="s">
        <v>10</v>
      </c>
      <c r="B745" s="86" t="s">
        <v>40</v>
      </c>
      <c r="C745" s="86">
        <v>1110410240</v>
      </c>
      <c r="D745" s="1" t="s">
        <v>76</v>
      </c>
      <c r="E745" s="57" t="s">
        <v>77</v>
      </c>
      <c r="F745" s="21">
        <f>F746</f>
        <v>66.7</v>
      </c>
      <c r="G745" s="21">
        <f t="shared" ref="G745:H745" si="264">G746</f>
        <v>0</v>
      </c>
      <c r="H745" s="21">
        <f t="shared" si="264"/>
        <v>0</v>
      </c>
    </row>
    <row r="746" spans="1:8" ht="31.5">
      <c r="A746" s="86" t="s">
        <v>10</v>
      </c>
      <c r="B746" s="86" t="s">
        <v>40</v>
      </c>
      <c r="C746" s="86">
        <v>1110410240</v>
      </c>
      <c r="D746" s="86">
        <v>320</v>
      </c>
      <c r="E746" s="87" t="s">
        <v>113</v>
      </c>
      <c r="F746" s="21">
        <f>119.5-52.7-0.1</f>
        <v>66.7</v>
      </c>
      <c r="G746" s="21">
        <v>0</v>
      </c>
      <c r="H746" s="21">
        <v>0</v>
      </c>
    </row>
    <row r="747" spans="1:8" ht="31.5">
      <c r="A747" s="86" t="s">
        <v>10</v>
      </c>
      <c r="B747" s="86" t="s">
        <v>40</v>
      </c>
      <c r="C747" s="86">
        <v>1110410240</v>
      </c>
      <c r="D747" s="88" t="s">
        <v>104</v>
      </c>
      <c r="E747" s="87" t="s">
        <v>105</v>
      </c>
      <c r="F747" s="21">
        <f>F748</f>
        <v>2906.9999999999995</v>
      </c>
      <c r="G747" s="21">
        <f t="shared" ref="G747:H747" si="265">G748</f>
        <v>0</v>
      </c>
      <c r="H747" s="21">
        <f t="shared" si="265"/>
        <v>0</v>
      </c>
    </row>
    <row r="748" spans="1:8">
      <c r="A748" s="86" t="s">
        <v>10</v>
      </c>
      <c r="B748" s="86" t="s">
        <v>40</v>
      </c>
      <c r="C748" s="86">
        <v>1110410240</v>
      </c>
      <c r="D748" s="86">
        <v>610</v>
      </c>
      <c r="E748" s="87" t="s">
        <v>115</v>
      </c>
      <c r="F748" s="21">
        <f>2854.2+52.7+0.1</f>
        <v>2906.9999999999995</v>
      </c>
      <c r="G748" s="21">
        <v>0</v>
      </c>
      <c r="H748" s="21">
        <v>0</v>
      </c>
    </row>
    <row r="749" spans="1:8" ht="31.5">
      <c r="A749" s="86" t="s">
        <v>10</v>
      </c>
      <c r="B749" s="86" t="s">
        <v>40</v>
      </c>
      <c r="C749" s="86" t="s">
        <v>212</v>
      </c>
      <c r="D749" s="86"/>
      <c r="E749" s="87" t="s">
        <v>211</v>
      </c>
      <c r="F749" s="21">
        <f t="shared" si="261"/>
        <v>178.9</v>
      </c>
      <c r="G749" s="21">
        <f t="shared" si="261"/>
        <v>159</v>
      </c>
      <c r="H749" s="21">
        <f t="shared" si="261"/>
        <v>0</v>
      </c>
    </row>
    <row r="750" spans="1:8">
      <c r="A750" s="86" t="s">
        <v>10</v>
      </c>
      <c r="B750" s="86" t="s">
        <v>40</v>
      </c>
      <c r="C750" s="86" t="s">
        <v>212</v>
      </c>
      <c r="D750" s="1" t="s">
        <v>76</v>
      </c>
      <c r="E750" s="57" t="s">
        <v>77</v>
      </c>
      <c r="F750" s="21">
        <f t="shared" si="261"/>
        <v>178.9</v>
      </c>
      <c r="G750" s="21">
        <f t="shared" si="261"/>
        <v>159</v>
      </c>
      <c r="H750" s="21">
        <f t="shared" si="261"/>
        <v>0</v>
      </c>
    </row>
    <row r="751" spans="1:8" ht="31.5">
      <c r="A751" s="86" t="s">
        <v>10</v>
      </c>
      <c r="B751" s="86" t="s">
        <v>40</v>
      </c>
      <c r="C751" s="86" t="s">
        <v>212</v>
      </c>
      <c r="D751" s="86">
        <v>320</v>
      </c>
      <c r="E751" s="87" t="s">
        <v>113</v>
      </c>
      <c r="F751" s="21">
        <f>159+10+9.9</f>
        <v>178.9</v>
      </c>
      <c r="G751" s="21">
        <v>159</v>
      </c>
      <c r="H751" s="21">
        <v>0</v>
      </c>
    </row>
    <row r="752" spans="1:8">
      <c r="A752" s="86" t="s">
        <v>10</v>
      </c>
      <c r="B752" s="86" t="s">
        <v>55</v>
      </c>
      <c r="C752" s="86" t="s">
        <v>69</v>
      </c>
      <c r="D752" s="86" t="s">
        <v>69</v>
      </c>
      <c r="E752" s="87" t="s">
        <v>13</v>
      </c>
      <c r="F752" s="21">
        <f>F753+F769</f>
        <v>6198.9</v>
      </c>
      <c r="G752" s="21">
        <f>G753+G769</f>
        <v>6119</v>
      </c>
      <c r="H752" s="21">
        <f>H753+H769</f>
        <v>5722.2</v>
      </c>
    </row>
    <row r="753" spans="1:8" ht="34.15" customHeight="1">
      <c r="A753" s="86" t="s">
        <v>10</v>
      </c>
      <c r="B753" s="86" t="s">
        <v>55</v>
      </c>
      <c r="C753" s="88">
        <v>1100000000</v>
      </c>
      <c r="D753" s="86"/>
      <c r="E753" s="87" t="s">
        <v>221</v>
      </c>
      <c r="F753" s="21">
        <f>F754</f>
        <v>343.7</v>
      </c>
      <c r="G753" s="21">
        <f t="shared" ref="G753:H761" si="266">G754</f>
        <v>396.79999999999995</v>
      </c>
      <c r="H753" s="21">
        <f t="shared" si="266"/>
        <v>0</v>
      </c>
    </row>
    <row r="754" spans="1:8" ht="31.5">
      <c r="A754" s="86" t="s">
        <v>10</v>
      </c>
      <c r="B754" s="86" t="s">
        <v>55</v>
      </c>
      <c r="C754" s="88">
        <v>1130000000</v>
      </c>
      <c r="D754" s="24"/>
      <c r="E754" s="87" t="s">
        <v>126</v>
      </c>
      <c r="F754" s="21">
        <f>F759+F755+F765</f>
        <v>343.7</v>
      </c>
      <c r="G754" s="21">
        <f t="shared" ref="G754:H754" si="267">G759+G755+G765</f>
        <v>396.79999999999995</v>
      </c>
      <c r="H754" s="21">
        <f t="shared" si="267"/>
        <v>0</v>
      </c>
    </row>
    <row r="755" spans="1:8" ht="31.5">
      <c r="A755" s="86" t="s">
        <v>10</v>
      </c>
      <c r="B755" s="86" t="s">
        <v>55</v>
      </c>
      <c r="C755" s="86">
        <v>1130100000</v>
      </c>
      <c r="D755" s="24"/>
      <c r="E755" s="87" t="s">
        <v>263</v>
      </c>
      <c r="F755" s="21">
        <f>F756</f>
        <v>124.4</v>
      </c>
      <c r="G755" s="21">
        <f t="shared" ref="G755:H757" si="268">G756</f>
        <v>124.4</v>
      </c>
      <c r="H755" s="21">
        <f t="shared" si="268"/>
        <v>0</v>
      </c>
    </row>
    <row r="756" spans="1:8" ht="31.5">
      <c r="A756" s="86" t="s">
        <v>10</v>
      </c>
      <c r="B756" s="86" t="s">
        <v>55</v>
      </c>
      <c r="C756" s="88">
        <v>1130120260</v>
      </c>
      <c r="D756" s="24"/>
      <c r="E756" s="87" t="s">
        <v>264</v>
      </c>
      <c r="F756" s="21">
        <f>F757</f>
        <v>124.4</v>
      </c>
      <c r="G756" s="21">
        <f t="shared" si="268"/>
        <v>124.4</v>
      </c>
      <c r="H756" s="21">
        <f t="shared" si="268"/>
        <v>0</v>
      </c>
    </row>
    <row r="757" spans="1:8" ht="31.5">
      <c r="A757" s="86" t="s">
        <v>10</v>
      </c>
      <c r="B757" s="86" t="s">
        <v>55</v>
      </c>
      <c r="C757" s="88">
        <v>1130120260</v>
      </c>
      <c r="D757" s="86" t="s">
        <v>72</v>
      </c>
      <c r="E757" s="87" t="s">
        <v>102</v>
      </c>
      <c r="F757" s="21">
        <f>F758</f>
        <v>124.4</v>
      </c>
      <c r="G757" s="21">
        <f t="shared" si="268"/>
        <v>124.4</v>
      </c>
      <c r="H757" s="21">
        <f t="shared" si="268"/>
        <v>0</v>
      </c>
    </row>
    <row r="758" spans="1:8" ht="31.5">
      <c r="A758" s="86" t="s">
        <v>10</v>
      </c>
      <c r="B758" s="86" t="s">
        <v>55</v>
      </c>
      <c r="C758" s="88">
        <v>1130120260</v>
      </c>
      <c r="D758" s="86">
        <v>240</v>
      </c>
      <c r="E758" s="87" t="s">
        <v>315</v>
      </c>
      <c r="F758" s="21">
        <v>124.4</v>
      </c>
      <c r="G758" s="21">
        <v>124.4</v>
      </c>
      <c r="H758" s="21">
        <v>0</v>
      </c>
    </row>
    <row r="759" spans="1:8" ht="31.5">
      <c r="A759" s="86" t="s">
        <v>10</v>
      </c>
      <c r="B759" s="86" t="s">
        <v>55</v>
      </c>
      <c r="C759" s="86">
        <v>1130200000</v>
      </c>
      <c r="D759" s="86"/>
      <c r="E759" s="87" t="s">
        <v>213</v>
      </c>
      <c r="F759" s="21">
        <f>F760</f>
        <v>180.29999999999998</v>
      </c>
      <c r="G759" s="21">
        <f t="shared" si="266"/>
        <v>272.39999999999998</v>
      </c>
      <c r="H759" s="21">
        <f t="shared" si="266"/>
        <v>0</v>
      </c>
    </row>
    <row r="760" spans="1:8" ht="31.5">
      <c r="A760" s="86" t="s">
        <v>10</v>
      </c>
      <c r="B760" s="86" t="s">
        <v>55</v>
      </c>
      <c r="C760" s="86">
        <v>1130220270</v>
      </c>
      <c r="D760" s="86"/>
      <c r="E760" s="87" t="s">
        <v>214</v>
      </c>
      <c r="F760" s="21">
        <f>F761+F763</f>
        <v>180.29999999999998</v>
      </c>
      <c r="G760" s="21">
        <f t="shared" ref="G760:H760" si="269">G761+G763</f>
        <v>272.39999999999998</v>
      </c>
      <c r="H760" s="21">
        <f t="shared" si="269"/>
        <v>0</v>
      </c>
    </row>
    <row r="761" spans="1:8" ht="31.5">
      <c r="A761" s="86" t="s">
        <v>10</v>
      </c>
      <c r="B761" s="86" t="s">
        <v>55</v>
      </c>
      <c r="C761" s="86">
        <v>1130220270</v>
      </c>
      <c r="D761" s="86" t="s">
        <v>72</v>
      </c>
      <c r="E761" s="87" t="s">
        <v>102</v>
      </c>
      <c r="F761" s="21">
        <f>F762</f>
        <v>137.39999999999998</v>
      </c>
      <c r="G761" s="21">
        <f t="shared" si="266"/>
        <v>185.2</v>
      </c>
      <c r="H761" s="21">
        <f t="shared" si="266"/>
        <v>0</v>
      </c>
    </row>
    <row r="762" spans="1:8" ht="31.5">
      <c r="A762" s="86" t="s">
        <v>10</v>
      </c>
      <c r="B762" s="86" t="s">
        <v>55</v>
      </c>
      <c r="C762" s="86">
        <v>1130220270</v>
      </c>
      <c r="D762" s="86">
        <v>240</v>
      </c>
      <c r="E762" s="87" t="s">
        <v>315</v>
      </c>
      <c r="F762" s="21">
        <f>185.2-47.8</f>
        <v>137.39999999999998</v>
      </c>
      <c r="G762" s="21">
        <v>185.2</v>
      </c>
      <c r="H762" s="21">
        <v>0</v>
      </c>
    </row>
    <row r="763" spans="1:8">
      <c r="A763" s="86" t="s">
        <v>10</v>
      </c>
      <c r="B763" s="86" t="s">
        <v>55</v>
      </c>
      <c r="C763" s="86">
        <v>1130220270</v>
      </c>
      <c r="D763" s="1" t="s">
        <v>76</v>
      </c>
      <c r="E763" s="57" t="s">
        <v>77</v>
      </c>
      <c r="F763" s="21">
        <f>F764</f>
        <v>42.900000000000006</v>
      </c>
      <c r="G763" s="21">
        <f t="shared" ref="G763:H763" si="270">G764</f>
        <v>87.2</v>
      </c>
      <c r="H763" s="21">
        <f t="shared" si="270"/>
        <v>0</v>
      </c>
    </row>
    <row r="764" spans="1:8">
      <c r="A764" s="86" t="s">
        <v>10</v>
      </c>
      <c r="B764" s="86" t="s">
        <v>55</v>
      </c>
      <c r="C764" s="86">
        <v>1130220270</v>
      </c>
      <c r="D764" s="86">
        <v>350</v>
      </c>
      <c r="E764" s="87" t="s">
        <v>181</v>
      </c>
      <c r="F764" s="21">
        <f>87.2-44.3</f>
        <v>42.900000000000006</v>
      </c>
      <c r="G764" s="21">
        <v>87.2</v>
      </c>
      <c r="H764" s="21">
        <v>0</v>
      </c>
    </row>
    <row r="765" spans="1:8" ht="31.5">
      <c r="A765" s="86" t="s">
        <v>10</v>
      </c>
      <c r="B765" s="86" t="s">
        <v>55</v>
      </c>
      <c r="C765" s="86">
        <v>1130500000</v>
      </c>
      <c r="D765" s="86"/>
      <c r="E765" s="87" t="s">
        <v>384</v>
      </c>
      <c r="F765" s="21">
        <f>F766</f>
        <v>39</v>
      </c>
      <c r="G765" s="21">
        <f t="shared" ref="G765:H767" si="271">G766</f>
        <v>0</v>
      </c>
      <c r="H765" s="21">
        <f t="shared" si="271"/>
        <v>0</v>
      </c>
    </row>
    <row r="766" spans="1:8" ht="31.5">
      <c r="A766" s="86" t="s">
        <v>10</v>
      </c>
      <c r="B766" s="86" t="s">
        <v>55</v>
      </c>
      <c r="C766" s="86">
        <v>1130520300</v>
      </c>
      <c r="D766" s="86"/>
      <c r="E766" s="87" t="s">
        <v>385</v>
      </c>
      <c r="F766" s="21">
        <f>F767</f>
        <v>39</v>
      </c>
      <c r="G766" s="21">
        <f t="shared" si="271"/>
        <v>0</v>
      </c>
      <c r="H766" s="21">
        <f t="shared" si="271"/>
        <v>0</v>
      </c>
    </row>
    <row r="767" spans="1:8" ht="31.5">
      <c r="A767" s="86" t="s">
        <v>10</v>
      </c>
      <c r="B767" s="86" t="s">
        <v>55</v>
      </c>
      <c r="C767" s="86">
        <v>1130520300</v>
      </c>
      <c r="D767" s="86" t="s">
        <v>72</v>
      </c>
      <c r="E767" s="87" t="s">
        <v>102</v>
      </c>
      <c r="F767" s="21">
        <f>F768</f>
        <v>39</v>
      </c>
      <c r="G767" s="21">
        <f t="shared" si="271"/>
        <v>0</v>
      </c>
      <c r="H767" s="21">
        <f t="shared" si="271"/>
        <v>0</v>
      </c>
    </row>
    <row r="768" spans="1:8" ht="31.5">
      <c r="A768" s="86" t="s">
        <v>10</v>
      </c>
      <c r="B768" s="86" t="s">
        <v>55</v>
      </c>
      <c r="C768" s="86">
        <v>1130520300</v>
      </c>
      <c r="D768" s="86">
        <v>240</v>
      </c>
      <c r="E768" s="87" t="s">
        <v>315</v>
      </c>
      <c r="F768" s="21">
        <v>39</v>
      </c>
      <c r="G768" s="21">
        <v>0</v>
      </c>
      <c r="H768" s="21">
        <v>0</v>
      </c>
    </row>
    <row r="769" spans="1:8">
      <c r="A769" s="86" t="s">
        <v>10</v>
      </c>
      <c r="B769" s="86" t="s">
        <v>55</v>
      </c>
      <c r="C769" s="86">
        <v>9900000000</v>
      </c>
      <c r="D769" s="86"/>
      <c r="E769" s="87" t="s">
        <v>116</v>
      </c>
      <c r="F769" s="21">
        <f>F770</f>
        <v>5855.2</v>
      </c>
      <c r="G769" s="21">
        <f t="shared" ref="G769:H770" si="272">G770</f>
        <v>5722.2</v>
      </c>
      <c r="H769" s="21">
        <f t="shared" si="272"/>
        <v>5722.2</v>
      </c>
    </row>
    <row r="770" spans="1:8" ht="31.5">
      <c r="A770" s="86" t="s">
        <v>10</v>
      </c>
      <c r="B770" s="86" t="s">
        <v>55</v>
      </c>
      <c r="C770" s="86">
        <v>9990000000</v>
      </c>
      <c r="D770" s="86"/>
      <c r="E770" s="87" t="s">
        <v>176</v>
      </c>
      <c r="F770" s="21">
        <f>F771</f>
        <v>5855.2</v>
      </c>
      <c r="G770" s="21">
        <f t="shared" si="272"/>
        <v>5722.2</v>
      </c>
      <c r="H770" s="21">
        <f t="shared" si="272"/>
        <v>5722.2</v>
      </c>
    </row>
    <row r="771" spans="1:8" ht="31.5">
      <c r="A771" s="86" t="s">
        <v>10</v>
      </c>
      <c r="B771" s="86" t="s">
        <v>55</v>
      </c>
      <c r="C771" s="86">
        <v>9990200000</v>
      </c>
      <c r="D771" s="24"/>
      <c r="E771" s="87" t="s">
        <v>129</v>
      </c>
      <c r="F771" s="21">
        <f>F772</f>
        <v>5855.2</v>
      </c>
      <c r="G771" s="21">
        <f t="shared" ref="G771:H771" si="273">G772</f>
        <v>5722.2</v>
      </c>
      <c r="H771" s="21">
        <f t="shared" si="273"/>
        <v>5722.2</v>
      </c>
    </row>
    <row r="772" spans="1:8" ht="47.25">
      <c r="A772" s="86" t="s">
        <v>10</v>
      </c>
      <c r="B772" s="86" t="s">
        <v>55</v>
      </c>
      <c r="C772" s="86">
        <v>9990225000</v>
      </c>
      <c r="D772" s="86"/>
      <c r="E772" s="87" t="s">
        <v>130</v>
      </c>
      <c r="F772" s="21">
        <f>F773+F775</f>
        <v>5855.2</v>
      </c>
      <c r="G772" s="21">
        <f t="shared" ref="G772:H772" si="274">G773+G775</f>
        <v>5722.2</v>
      </c>
      <c r="H772" s="21">
        <f t="shared" si="274"/>
        <v>5722.2</v>
      </c>
    </row>
    <row r="773" spans="1:8" ht="63">
      <c r="A773" s="86" t="s">
        <v>10</v>
      </c>
      <c r="B773" s="86" t="s">
        <v>55</v>
      </c>
      <c r="C773" s="86">
        <v>9990225000</v>
      </c>
      <c r="D773" s="86" t="s">
        <v>71</v>
      </c>
      <c r="E773" s="87" t="s">
        <v>1</v>
      </c>
      <c r="F773" s="21">
        <f>F774</f>
        <v>5831</v>
      </c>
      <c r="G773" s="21">
        <f t="shared" ref="G773:H773" si="275">G774</f>
        <v>5648</v>
      </c>
      <c r="H773" s="21">
        <f t="shared" si="275"/>
        <v>5648</v>
      </c>
    </row>
    <row r="774" spans="1:8" ht="31.5">
      <c r="A774" s="86" t="s">
        <v>10</v>
      </c>
      <c r="B774" s="86" t="s">
        <v>55</v>
      </c>
      <c r="C774" s="86">
        <v>9990225000</v>
      </c>
      <c r="D774" s="86">
        <v>120</v>
      </c>
      <c r="E774" s="87" t="s">
        <v>319</v>
      </c>
      <c r="F774" s="21">
        <f>5648+181+39.3-37.3</f>
        <v>5831</v>
      </c>
      <c r="G774" s="21">
        <v>5648</v>
      </c>
      <c r="H774" s="21">
        <v>5648</v>
      </c>
    </row>
    <row r="775" spans="1:8" ht="18.600000000000001" customHeight="1">
      <c r="A775" s="86" t="s">
        <v>10</v>
      </c>
      <c r="B775" s="86" t="s">
        <v>55</v>
      </c>
      <c r="C775" s="86">
        <v>9990225000</v>
      </c>
      <c r="D775" s="86" t="s">
        <v>73</v>
      </c>
      <c r="E775" s="87" t="s">
        <v>74</v>
      </c>
      <c r="F775" s="21">
        <f>F776</f>
        <v>24.200000000000003</v>
      </c>
      <c r="G775" s="21">
        <f t="shared" ref="G775:H775" si="276">G776</f>
        <v>74.2</v>
      </c>
      <c r="H775" s="21">
        <f t="shared" si="276"/>
        <v>74.2</v>
      </c>
    </row>
    <row r="776" spans="1:8" ht="18.600000000000001" customHeight="1">
      <c r="A776" s="86" t="s">
        <v>10</v>
      </c>
      <c r="B776" s="86" t="s">
        <v>55</v>
      </c>
      <c r="C776" s="86">
        <v>9990225000</v>
      </c>
      <c r="D776" s="86">
        <v>850</v>
      </c>
      <c r="E776" s="87" t="s">
        <v>111</v>
      </c>
      <c r="F776" s="21">
        <f>74.2-50</f>
        <v>24.200000000000003</v>
      </c>
      <c r="G776" s="21">
        <v>74.2</v>
      </c>
      <c r="H776" s="21">
        <v>74.2</v>
      </c>
    </row>
    <row r="777" spans="1:8">
      <c r="A777" s="86" t="s">
        <v>10</v>
      </c>
      <c r="B777" s="86" t="s">
        <v>41</v>
      </c>
      <c r="C777" s="86" t="s">
        <v>69</v>
      </c>
      <c r="D777" s="86" t="s">
        <v>69</v>
      </c>
      <c r="E777" s="87" t="s">
        <v>33</v>
      </c>
      <c r="F777" s="21">
        <f>F778</f>
        <v>10970.6</v>
      </c>
      <c r="G777" s="21">
        <f t="shared" ref="G777:H781" si="277">G778</f>
        <v>10970.6</v>
      </c>
      <c r="H777" s="21">
        <f t="shared" si="277"/>
        <v>10970.6</v>
      </c>
    </row>
    <row r="778" spans="1:8">
      <c r="A778" s="86" t="s">
        <v>10</v>
      </c>
      <c r="B778" s="86" t="s">
        <v>88</v>
      </c>
      <c r="C778" s="86" t="s">
        <v>69</v>
      </c>
      <c r="D778" s="86" t="s">
        <v>69</v>
      </c>
      <c r="E778" s="87" t="s">
        <v>89</v>
      </c>
      <c r="F778" s="21">
        <f>F779</f>
        <v>10970.6</v>
      </c>
      <c r="G778" s="21">
        <f t="shared" si="277"/>
        <v>10970.6</v>
      </c>
      <c r="H778" s="21">
        <f t="shared" si="277"/>
        <v>10970.6</v>
      </c>
    </row>
    <row r="779" spans="1:8" ht="39.6" customHeight="1">
      <c r="A779" s="86" t="s">
        <v>10</v>
      </c>
      <c r="B779" s="86" t="s">
        <v>88</v>
      </c>
      <c r="C779" s="88">
        <v>1100000000</v>
      </c>
      <c r="D779" s="86"/>
      <c r="E779" s="87" t="s">
        <v>221</v>
      </c>
      <c r="F779" s="21">
        <f>F780</f>
        <v>10970.6</v>
      </c>
      <c r="G779" s="21">
        <f t="shared" si="277"/>
        <v>10970.6</v>
      </c>
      <c r="H779" s="21">
        <f t="shared" si="277"/>
        <v>10970.6</v>
      </c>
    </row>
    <row r="780" spans="1:8">
      <c r="A780" s="86" t="s">
        <v>10</v>
      </c>
      <c r="B780" s="86" t="s">
        <v>88</v>
      </c>
      <c r="C780" s="86">
        <v>1110000000</v>
      </c>
      <c r="D780" s="86"/>
      <c r="E780" s="87" t="s">
        <v>200</v>
      </c>
      <c r="F780" s="21">
        <f>F781</f>
        <v>10970.6</v>
      </c>
      <c r="G780" s="21">
        <f t="shared" si="277"/>
        <v>10970.6</v>
      </c>
      <c r="H780" s="21">
        <f t="shared" si="277"/>
        <v>10970.6</v>
      </c>
    </row>
    <row r="781" spans="1:8" ht="47.25">
      <c r="A781" s="86" t="s">
        <v>10</v>
      </c>
      <c r="B781" s="86" t="s">
        <v>88</v>
      </c>
      <c r="C781" s="86">
        <v>1110200000</v>
      </c>
      <c r="D781" s="86"/>
      <c r="E781" s="87" t="s">
        <v>215</v>
      </c>
      <c r="F781" s="21">
        <f>F782</f>
        <v>10970.6</v>
      </c>
      <c r="G781" s="21">
        <f t="shared" si="277"/>
        <v>10970.6</v>
      </c>
      <c r="H781" s="21">
        <f t="shared" si="277"/>
        <v>10970.6</v>
      </c>
    </row>
    <row r="782" spans="1:8" ht="78.75">
      <c r="A782" s="86" t="s">
        <v>10</v>
      </c>
      <c r="B782" s="86" t="s">
        <v>88</v>
      </c>
      <c r="C782" s="86">
        <v>1110210500</v>
      </c>
      <c r="D782" s="86"/>
      <c r="E782" s="87" t="s">
        <v>275</v>
      </c>
      <c r="F782" s="21">
        <f>F783+F785</f>
        <v>10970.6</v>
      </c>
      <c r="G782" s="21">
        <f t="shared" ref="G782:H782" si="278">G783+G785</f>
        <v>10970.6</v>
      </c>
      <c r="H782" s="21">
        <f t="shared" si="278"/>
        <v>10970.6</v>
      </c>
    </row>
    <row r="783" spans="1:8" ht="31.5">
      <c r="A783" s="86" t="s">
        <v>10</v>
      </c>
      <c r="B783" s="86" t="s">
        <v>88</v>
      </c>
      <c r="C783" s="86">
        <v>1110210500</v>
      </c>
      <c r="D783" s="86" t="s">
        <v>72</v>
      </c>
      <c r="E783" s="87" t="s">
        <v>102</v>
      </c>
      <c r="F783" s="21">
        <f>F784</f>
        <v>258.10000000000002</v>
      </c>
      <c r="G783" s="21">
        <v>267.60000000000002</v>
      </c>
      <c r="H783" s="21">
        <v>267.60000000000002</v>
      </c>
    </row>
    <row r="784" spans="1:8" ht="31.5">
      <c r="A784" s="86" t="s">
        <v>10</v>
      </c>
      <c r="B784" s="86" t="s">
        <v>88</v>
      </c>
      <c r="C784" s="86">
        <v>1110210500</v>
      </c>
      <c r="D784" s="86">
        <v>240</v>
      </c>
      <c r="E784" s="87" t="s">
        <v>315</v>
      </c>
      <c r="F784" s="21">
        <f>267.6-9.5</f>
        <v>258.10000000000002</v>
      </c>
      <c r="G784" s="21">
        <v>267.60000000000002</v>
      </c>
      <c r="H784" s="21">
        <v>267.60000000000002</v>
      </c>
    </row>
    <row r="785" spans="1:8">
      <c r="A785" s="86" t="s">
        <v>10</v>
      </c>
      <c r="B785" s="86" t="s">
        <v>88</v>
      </c>
      <c r="C785" s="86">
        <v>1110210500</v>
      </c>
      <c r="D785" s="86" t="s">
        <v>76</v>
      </c>
      <c r="E785" s="87" t="s">
        <v>77</v>
      </c>
      <c r="F785" s="21">
        <f>F786</f>
        <v>10712.5</v>
      </c>
      <c r="G785" s="21">
        <f t="shared" ref="G785:H785" si="279">G786</f>
        <v>10703</v>
      </c>
      <c r="H785" s="21">
        <f t="shared" si="279"/>
        <v>10703</v>
      </c>
    </row>
    <row r="786" spans="1:8" ht="31.5">
      <c r="A786" s="86" t="s">
        <v>10</v>
      </c>
      <c r="B786" s="86" t="s">
        <v>88</v>
      </c>
      <c r="C786" s="86">
        <v>1110210500</v>
      </c>
      <c r="D786" s="1" t="s">
        <v>112</v>
      </c>
      <c r="E786" s="57" t="s">
        <v>113</v>
      </c>
      <c r="F786" s="21">
        <f>10703+9.5</f>
        <v>10712.5</v>
      </c>
      <c r="G786" s="21">
        <v>10703</v>
      </c>
      <c r="H786" s="21">
        <v>10703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7"/>
  <sheetViews>
    <sheetView view="pageBreakPreview" topLeftCell="A652" zoomScale="80" zoomScaleNormal="90" zoomScaleSheetLayoutView="80" workbookViewId="0">
      <selection activeCell="A2" sqref="A2:G2"/>
    </sheetView>
  </sheetViews>
  <sheetFormatPr defaultColWidth="8.85546875" defaultRowHeight="15.75"/>
  <cols>
    <col min="1" max="1" width="7.7109375" style="13" customWidth="1"/>
    <col min="2" max="2" width="15" style="13" customWidth="1"/>
    <col min="3" max="3" width="5.5703125" style="13" customWidth="1"/>
    <col min="4" max="4" width="68.42578125" style="62" customWidth="1"/>
    <col min="5" max="5" width="12.42578125" style="20" customWidth="1"/>
    <col min="6" max="6" width="11.5703125" style="20" customWidth="1"/>
    <col min="7" max="7" width="11.7109375" style="20" customWidth="1"/>
    <col min="8" max="8" width="8.85546875" style="3"/>
    <col min="9" max="9" width="13.85546875" style="28" bestFit="1" customWidth="1"/>
    <col min="10" max="10" width="10.42578125" style="28" bestFit="1" customWidth="1"/>
    <col min="11" max="11" width="12.85546875" style="28" customWidth="1"/>
    <col min="12" max="16384" width="8.85546875" style="3"/>
  </cols>
  <sheetData>
    <row r="1" spans="1:7" ht="58.9" customHeight="1">
      <c r="A1" s="225" t="s">
        <v>784</v>
      </c>
      <c r="B1" s="225"/>
      <c r="C1" s="225"/>
      <c r="D1" s="225"/>
      <c r="E1" s="225"/>
      <c r="F1" s="225"/>
      <c r="G1" s="225"/>
    </row>
    <row r="2" spans="1:7" ht="59.45" customHeight="1">
      <c r="A2" s="231" t="s">
        <v>322</v>
      </c>
      <c r="B2" s="231"/>
      <c r="C2" s="231"/>
      <c r="D2" s="231"/>
      <c r="E2" s="231"/>
      <c r="F2" s="231"/>
      <c r="G2" s="231"/>
    </row>
    <row r="3" spans="1:7">
      <c r="A3" s="235" t="s">
        <v>38</v>
      </c>
      <c r="B3" s="235" t="s">
        <v>18</v>
      </c>
      <c r="C3" s="235" t="s">
        <v>19</v>
      </c>
      <c r="D3" s="236" t="s">
        <v>20</v>
      </c>
      <c r="E3" s="235" t="s">
        <v>93</v>
      </c>
      <c r="F3" s="235"/>
      <c r="G3" s="235"/>
    </row>
    <row r="4" spans="1:7">
      <c r="A4" s="235" t="s">
        <v>69</v>
      </c>
      <c r="B4" s="235" t="s">
        <v>69</v>
      </c>
      <c r="C4" s="235" t="s">
        <v>69</v>
      </c>
      <c r="D4" s="236" t="s">
        <v>69</v>
      </c>
      <c r="E4" s="235" t="s">
        <v>94</v>
      </c>
      <c r="F4" s="235" t="s">
        <v>95</v>
      </c>
      <c r="G4" s="235"/>
    </row>
    <row r="5" spans="1:7">
      <c r="A5" s="235" t="s">
        <v>69</v>
      </c>
      <c r="B5" s="235" t="s">
        <v>69</v>
      </c>
      <c r="C5" s="235" t="s">
        <v>69</v>
      </c>
      <c r="D5" s="236" t="s">
        <v>69</v>
      </c>
      <c r="E5" s="235" t="s">
        <v>69</v>
      </c>
      <c r="F5" s="89" t="s">
        <v>107</v>
      </c>
      <c r="G5" s="89" t="s">
        <v>317</v>
      </c>
    </row>
    <row r="6" spans="1:7">
      <c r="A6" s="89" t="s">
        <v>4</v>
      </c>
      <c r="B6" s="89" t="s">
        <v>80</v>
      </c>
      <c r="C6" s="89">
        <v>3</v>
      </c>
      <c r="D6" s="89" t="s">
        <v>82</v>
      </c>
      <c r="E6" s="89" t="s">
        <v>83</v>
      </c>
      <c r="F6" s="89" t="s">
        <v>84</v>
      </c>
      <c r="G6" s="89" t="s">
        <v>100</v>
      </c>
    </row>
    <row r="7" spans="1:7">
      <c r="A7" s="4" t="s">
        <v>69</v>
      </c>
      <c r="B7" s="4" t="s">
        <v>69</v>
      </c>
      <c r="C7" s="4" t="s">
        <v>69</v>
      </c>
      <c r="D7" s="5" t="s">
        <v>0</v>
      </c>
      <c r="E7" s="6">
        <f>E8+E166+E186+E270+E336+E543+E592+E640+E674+E691</f>
        <v>996428.09999999986</v>
      </c>
      <c r="F7" s="6">
        <f>F8+F166+F186+F270+F336+F543+F592+F640+F674+F691</f>
        <v>713710.2</v>
      </c>
      <c r="G7" s="6">
        <f>G8+G166+G186+G270+G336+G543+G592+G640+G674+G691</f>
        <v>625563.90000000014</v>
      </c>
    </row>
    <row r="8" spans="1:7">
      <c r="A8" s="4" t="s">
        <v>57</v>
      </c>
      <c r="B8" s="4" t="s">
        <v>69</v>
      </c>
      <c r="C8" s="4" t="s">
        <v>69</v>
      </c>
      <c r="D8" s="19" t="s">
        <v>22</v>
      </c>
      <c r="E8" s="6">
        <f>E9+E15+E29+E46+E52+E74+E80+E67+E61</f>
        <v>72588.800000000017</v>
      </c>
      <c r="F8" s="6">
        <f t="shared" ref="F8:G8" si="0">F9+F15+F29+F46+F52+F74+F80+F67+F61</f>
        <v>72620.300000000017</v>
      </c>
      <c r="G8" s="6">
        <f t="shared" si="0"/>
        <v>71734.400000000009</v>
      </c>
    </row>
    <row r="9" spans="1:7" ht="31.5">
      <c r="A9" s="89" t="s">
        <v>45</v>
      </c>
      <c r="B9" s="89" t="s">
        <v>69</v>
      </c>
      <c r="C9" s="89" t="s">
        <v>69</v>
      </c>
      <c r="D9" s="90" t="s">
        <v>62</v>
      </c>
      <c r="E9" s="7">
        <f>E10</f>
        <v>903.3</v>
      </c>
      <c r="F9" s="7">
        <f t="shared" ref="F9:G13" si="1">F10</f>
        <v>1479</v>
      </c>
      <c r="G9" s="7">
        <f t="shared" si="1"/>
        <v>1479</v>
      </c>
    </row>
    <row r="10" spans="1:7">
      <c r="A10" s="86" t="s">
        <v>45</v>
      </c>
      <c r="B10" s="86">
        <v>9900000000</v>
      </c>
      <c r="C10" s="86"/>
      <c r="D10" s="59" t="s">
        <v>116</v>
      </c>
      <c r="E10" s="16">
        <f>E11</f>
        <v>903.3</v>
      </c>
      <c r="F10" s="16">
        <f t="shared" si="1"/>
        <v>1479</v>
      </c>
      <c r="G10" s="16">
        <f t="shared" si="1"/>
        <v>1479</v>
      </c>
    </row>
    <row r="11" spans="1:7" ht="31.5">
      <c r="A11" s="86" t="s">
        <v>45</v>
      </c>
      <c r="B11" s="86">
        <v>9990000000</v>
      </c>
      <c r="C11" s="86"/>
      <c r="D11" s="59" t="s">
        <v>176</v>
      </c>
      <c r="E11" s="16">
        <f>E12</f>
        <v>903.3</v>
      </c>
      <c r="F11" s="16">
        <f t="shared" si="1"/>
        <v>1479</v>
      </c>
      <c r="G11" s="16">
        <f t="shared" si="1"/>
        <v>1479</v>
      </c>
    </row>
    <row r="12" spans="1:7">
      <c r="A12" s="86" t="s">
        <v>45</v>
      </c>
      <c r="B12" s="86">
        <v>9990021000</v>
      </c>
      <c r="C12" s="24"/>
      <c r="D12" s="59" t="s">
        <v>177</v>
      </c>
      <c r="E12" s="16">
        <f>E13</f>
        <v>903.3</v>
      </c>
      <c r="F12" s="16">
        <f t="shared" si="1"/>
        <v>1479</v>
      </c>
      <c r="G12" s="16">
        <f t="shared" si="1"/>
        <v>1479</v>
      </c>
    </row>
    <row r="13" spans="1:7" ht="63">
      <c r="A13" s="86" t="s">
        <v>45</v>
      </c>
      <c r="B13" s="86">
        <v>9990021000</v>
      </c>
      <c r="C13" s="86" t="s">
        <v>71</v>
      </c>
      <c r="D13" s="59" t="s">
        <v>1</v>
      </c>
      <c r="E13" s="16">
        <f>E14</f>
        <v>903.3</v>
      </c>
      <c r="F13" s="16">
        <f t="shared" si="1"/>
        <v>1479</v>
      </c>
      <c r="G13" s="16">
        <f t="shared" si="1"/>
        <v>1479</v>
      </c>
    </row>
    <row r="14" spans="1:7" ht="31.5">
      <c r="A14" s="86" t="s">
        <v>45</v>
      </c>
      <c r="B14" s="86">
        <v>9990021000</v>
      </c>
      <c r="C14" s="86">
        <v>120</v>
      </c>
      <c r="D14" s="59" t="s">
        <v>319</v>
      </c>
      <c r="E14" s="16">
        <f>'№ 5'!F15</f>
        <v>903.3</v>
      </c>
      <c r="F14" s="16">
        <f>'№ 5'!G15</f>
        <v>1479</v>
      </c>
      <c r="G14" s="16">
        <f>'№ 5'!H15</f>
        <v>1479</v>
      </c>
    </row>
    <row r="15" spans="1:7" ht="47.25">
      <c r="A15" s="89" t="s">
        <v>46</v>
      </c>
      <c r="B15" s="89" t="s">
        <v>69</v>
      </c>
      <c r="C15" s="89" t="s">
        <v>69</v>
      </c>
      <c r="D15" s="90" t="s">
        <v>23</v>
      </c>
      <c r="E15" s="7">
        <f>E16</f>
        <v>3501</v>
      </c>
      <c r="F15" s="7">
        <f t="shared" ref="F15:G17" si="2">F16</f>
        <v>4134</v>
      </c>
      <c r="G15" s="7">
        <f t="shared" si="2"/>
        <v>4134</v>
      </c>
    </row>
    <row r="16" spans="1:7">
      <c r="A16" s="86" t="s">
        <v>46</v>
      </c>
      <c r="B16" s="88" t="s">
        <v>121</v>
      </c>
      <c r="C16" s="88" t="s">
        <v>69</v>
      </c>
      <c r="D16" s="87" t="s">
        <v>116</v>
      </c>
      <c r="E16" s="16">
        <f>E17</f>
        <v>3501</v>
      </c>
      <c r="F16" s="16">
        <f t="shared" si="2"/>
        <v>4134</v>
      </c>
      <c r="G16" s="16">
        <f t="shared" si="2"/>
        <v>4134</v>
      </c>
    </row>
    <row r="17" spans="1:7" ht="31.5">
      <c r="A17" s="86" t="s">
        <v>46</v>
      </c>
      <c r="B17" s="86">
        <v>9990000000</v>
      </c>
      <c r="C17" s="86"/>
      <c r="D17" s="59" t="s">
        <v>176</v>
      </c>
      <c r="E17" s="16">
        <f>E18</f>
        <v>3501</v>
      </c>
      <c r="F17" s="16">
        <f t="shared" si="2"/>
        <v>4134</v>
      </c>
      <c r="G17" s="16">
        <f t="shared" si="2"/>
        <v>4134</v>
      </c>
    </row>
    <row r="18" spans="1:7" ht="31.5">
      <c r="A18" s="86" t="s">
        <v>46</v>
      </c>
      <c r="B18" s="86">
        <v>9990100000</v>
      </c>
      <c r="C18" s="86"/>
      <c r="D18" s="59" t="s">
        <v>197</v>
      </c>
      <c r="E18" s="16">
        <f>E19+E22</f>
        <v>3501</v>
      </c>
      <c r="F18" s="16">
        <f t="shared" ref="F18:G18" si="3">F19+F22</f>
        <v>4134</v>
      </c>
      <c r="G18" s="16">
        <f t="shared" si="3"/>
        <v>4134</v>
      </c>
    </row>
    <row r="19" spans="1:7">
      <c r="A19" s="86" t="s">
        <v>46</v>
      </c>
      <c r="B19" s="86">
        <v>9990122000</v>
      </c>
      <c r="C19" s="86"/>
      <c r="D19" s="59" t="s">
        <v>198</v>
      </c>
      <c r="E19" s="16">
        <f>E20</f>
        <v>0</v>
      </c>
      <c r="F19" s="16">
        <f t="shared" ref="F19:G20" si="4">F20</f>
        <v>1208.5999999999999</v>
      </c>
      <c r="G19" s="16">
        <f t="shared" si="4"/>
        <v>1208.5999999999999</v>
      </c>
    </row>
    <row r="20" spans="1:7" ht="63">
      <c r="A20" s="86" t="s">
        <v>46</v>
      </c>
      <c r="B20" s="86">
        <v>9990122000</v>
      </c>
      <c r="C20" s="88" t="s">
        <v>71</v>
      </c>
      <c r="D20" s="87" t="s">
        <v>1</v>
      </c>
      <c r="E20" s="16">
        <f>E21</f>
        <v>0</v>
      </c>
      <c r="F20" s="16">
        <f t="shared" si="4"/>
        <v>1208.5999999999999</v>
      </c>
      <c r="G20" s="16">
        <f t="shared" si="4"/>
        <v>1208.5999999999999</v>
      </c>
    </row>
    <row r="21" spans="1:7" ht="31.5">
      <c r="A21" s="86" t="s">
        <v>46</v>
      </c>
      <c r="B21" s="86">
        <v>9990122000</v>
      </c>
      <c r="C21" s="86">
        <v>120</v>
      </c>
      <c r="D21" s="59" t="s">
        <v>319</v>
      </c>
      <c r="E21" s="16">
        <f>'№ 5'!F591</f>
        <v>0</v>
      </c>
      <c r="F21" s="16">
        <f>'№ 5'!G591</f>
        <v>1208.5999999999999</v>
      </c>
      <c r="G21" s="16">
        <f>'№ 5'!H591</f>
        <v>1208.5999999999999</v>
      </c>
    </row>
    <row r="22" spans="1:7" ht="31.5">
      <c r="A22" s="86" t="s">
        <v>46</v>
      </c>
      <c r="B22" s="86">
        <v>9990123000</v>
      </c>
      <c r="C22" s="86"/>
      <c r="D22" s="59" t="s">
        <v>199</v>
      </c>
      <c r="E22" s="16">
        <f>E23+E25+E27</f>
        <v>3501</v>
      </c>
      <c r="F22" s="16">
        <f t="shared" ref="F22:G22" si="5">F23+F25+F27</f>
        <v>2925.3999999999996</v>
      </c>
      <c r="G22" s="16">
        <f t="shared" si="5"/>
        <v>2925.3999999999996</v>
      </c>
    </row>
    <row r="23" spans="1:7" ht="63">
      <c r="A23" s="86" t="s">
        <v>46</v>
      </c>
      <c r="B23" s="86">
        <v>9990123000</v>
      </c>
      <c r="C23" s="86" t="s">
        <v>71</v>
      </c>
      <c r="D23" s="59" t="s">
        <v>1</v>
      </c>
      <c r="E23" s="16">
        <f>E24</f>
        <v>2399</v>
      </c>
      <c r="F23" s="16">
        <f t="shared" ref="F23:G23" si="6">F24</f>
        <v>2394</v>
      </c>
      <c r="G23" s="16">
        <f t="shared" si="6"/>
        <v>2394</v>
      </c>
    </row>
    <row r="24" spans="1:7" ht="31.5">
      <c r="A24" s="86" t="s">
        <v>46</v>
      </c>
      <c r="B24" s="86">
        <v>9990123000</v>
      </c>
      <c r="C24" s="86">
        <v>120</v>
      </c>
      <c r="D24" s="59" t="s">
        <v>319</v>
      </c>
      <c r="E24" s="16">
        <f>'№ 5'!F594</f>
        <v>2399</v>
      </c>
      <c r="F24" s="16">
        <f>'№ 5'!G594</f>
        <v>2394</v>
      </c>
      <c r="G24" s="16">
        <f>'№ 5'!H594</f>
        <v>2394</v>
      </c>
    </row>
    <row r="25" spans="1:7" ht="31.5">
      <c r="A25" s="86" t="s">
        <v>46</v>
      </c>
      <c r="B25" s="86">
        <v>9990123000</v>
      </c>
      <c r="C25" s="88" t="s">
        <v>72</v>
      </c>
      <c r="D25" s="87" t="s">
        <v>102</v>
      </c>
      <c r="E25" s="16">
        <f>E26</f>
        <v>1102</v>
      </c>
      <c r="F25" s="16">
        <f t="shared" ref="F25:G25" si="7">F26</f>
        <v>529.20000000000005</v>
      </c>
      <c r="G25" s="16">
        <f t="shared" si="7"/>
        <v>529.20000000000005</v>
      </c>
    </row>
    <row r="26" spans="1:7" ht="31.5">
      <c r="A26" s="86" t="s">
        <v>46</v>
      </c>
      <c r="B26" s="86">
        <v>9990123000</v>
      </c>
      <c r="C26" s="86">
        <v>240</v>
      </c>
      <c r="D26" s="87" t="s">
        <v>315</v>
      </c>
      <c r="E26" s="16">
        <f>'№ 5'!F596</f>
        <v>1102</v>
      </c>
      <c r="F26" s="16">
        <f>'№ 5'!G596</f>
        <v>529.20000000000005</v>
      </c>
      <c r="G26" s="16">
        <f>'№ 5'!H596</f>
        <v>529.20000000000005</v>
      </c>
    </row>
    <row r="27" spans="1:7">
      <c r="A27" s="86" t="s">
        <v>46</v>
      </c>
      <c r="B27" s="86">
        <v>9990123000</v>
      </c>
      <c r="C27" s="86" t="s">
        <v>73</v>
      </c>
      <c r="D27" s="59" t="s">
        <v>74</v>
      </c>
      <c r="E27" s="16">
        <f>E28</f>
        <v>0</v>
      </c>
      <c r="F27" s="16">
        <f t="shared" ref="F27:G27" si="8">F28</f>
        <v>2.2000000000000002</v>
      </c>
      <c r="G27" s="16">
        <f t="shared" si="8"/>
        <v>2.2000000000000002</v>
      </c>
    </row>
    <row r="28" spans="1:7">
      <c r="A28" s="86" t="s">
        <v>46</v>
      </c>
      <c r="B28" s="86">
        <v>9990123000</v>
      </c>
      <c r="C28" s="86">
        <v>850</v>
      </c>
      <c r="D28" s="59" t="s">
        <v>111</v>
      </c>
      <c r="E28" s="16">
        <f>'№ 5'!F598</f>
        <v>0</v>
      </c>
      <c r="F28" s="16">
        <f>'№ 5'!G598</f>
        <v>2.2000000000000002</v>
      </c>
      <c r="G28" s="16">
        <f>'№ 5'!H598</f>
        <v>2.2000000000000002</v>
      </c>
    </row>
    <row r="29" spans="1:7" ht="47.25">
      <c r="A29" s="86" t="s">
        <v>47</v>
      </c>
      <c r="B29" s="86" t="s">
        <v>69</v>
      </c>
      <c r="C29" s="86" t="s">
        <v>69</v>
      </c>
      <c r="D29" s="59" t="s">
        <v>24</v>
      </c>
      <c r="E29" s="16">
        <f>E30</f>
        <v>22072.100000000002</v>
      </c>
      <c r="F29" s="16">
        <f t="shared" ref="F29:G31" si="9">F30</f>
        <v>20305.7</v>
      </c>
      <c r="G29" s="16">
        <f t="shared" si="9"/>
        <v>20305.7</v>
      </c>
    </row>
    <row r="30" spans="1:7">
      <c r="A30" s="86" t="s">
        <v>47</v>
      </c>
      <c r="B30" s="86">
        <v>9900000000</v>
      </c>
      <c r="C30" s="86"/>
      <c r="D30" s="59" t="s">
        <v>116</v>
      </c>
      <c r="E30" s="16">
        <f>E31</f>
        <v>22072.100000000002</v>
      </c>
      <c r="F30" s="16">
        <f t="shared" si="9"/>
        <v>20305.7</v>
      </c>
      <c r="G30" s="16">
        <f t="shared" si="9"/>
        <v>20305.7</v>
      </c>
    </row>
    <row r="31" spans="1:7" ht="31.5">
      <c r="A31" s="86" t="s">
        <v>47</v>
      </c>
      <c r="B31" s="86">
        <v>9990000000</v>
      </c>
      <c r="C31" s="86"/>
      <c r="D31" s="59" t="s">
        <v>176</v>
      </c>
      <c r="E31" s="16">
        <f>E32</f>
        <v>22072.100000000002</v>
      </c>
      <c r="F31" s="16">
        <f t="shared" si="9"/>
        <v>20305.7</v>
      </c>
      <c r="G31" s="16">
        <f t="shared" si="9"/>
        <v>20305.7</v>
      </c>
    </row>
    <row r="32" spans="1:7" ht="31.5">
      <c r="A32" s="86" t="s">
        <v>47</v>
      </c>
      <c r="B32" s="86">
        <v>9990200000</v>
      </c>
      <c r="C32" s="24"/>
      <c r="D32" s="59" t="s">
        <v>129</v>
      </c>
      <c r="E32" s="16">
        <f>E38+E43+E33</f>
        <v>22072.100000000002</v>
      </c>
      <c r="F32" s="16">
        <f>F38+F43+F33</f>
        <v>20305.7</v>
      </c>
      <c r="G32" s="16">
        <f>G38+G43+G33</f>
        <v>20305.7</v>
      </c>
    </row>
    <row r="33" spans="1:7" ht="63">
      <c r="A33" s="86" t="s">
        <v>47</v>
      </c>
      <c r="B33" s="86">
        <v>9990210510</v>
      </c>
      <c r="C33" s="86"/>
      <c r="D33" s="59" t="s">
        <v>179</v>
      </c>
      <c r="E33" s="16">
        <f>E34+E36</f>
        <v>656.6</v>
      </c>
      <c r="F33" s="16">
        <f t="shared" ref="F33:G33" si="10">F34+F36</f>
        <v>656.6</v>
      </c>
      <c r="G33" s="16">
        <f t="shared" si="10"/>
        <v>656.6</v>
      </c>
    </row>
    <row r="34" spans="1:7" ht="63">
      <c r="A34" s="86" t="s">
        <v>47</v>
      </c>
      <c r="B34" s="86">
        <v>9990210510</v>
      </c>
      <c r="C34" s="86" t="s">
        <v>71</v>
      </c>
      <c r="D34" s="59" t="s">
        <v>1</v>
      </c>
      <c r="E34" s="16">
        <f>E35</f>
        <v>575</v>
      </c>
      <c r="F34" s="16">
        <f t="shared" ref="F34:G34" si="11">F35</f>
        <v>575</v>
      </c>
      <c r="G34" s="16">
        <f t="shared" si="11"/>
        <v>575</v>
      </c>
    </row>
    <row r="35" spans="1:7" ht="31.5">
      <c r="A35" s="86" t="s">
        <v>47</v>
      </c>
      <c r="B35" s="86">
        <v>9990210510</v>
      </c>
      <c r="C35" s="86">
        <v>120</v>
      </c>
      <c r="D35" s="59" t="s">
        <v>319</v>
      </c>
      <c r="E35" s="16">
        <f>'№ 5'!F22</f>
        <v>575</v>
      </c>
      <c r="F35" s="16">
        <f>'№ 5'!G22</f>
        <v>575</v>
      </c>
      <c r="G35" s="16">
        <f>'№ 5'!H22</f>
        <v>575</v>
      </c>
    </row>
    <row r="36" spans="1:7" ht="31.5">
      <c r="A36" s="86" t="s">
        <v>47</v>
      </c>
      <c r="B36" s="86">
        <v>9990210510</v>
      </c>
      <c r="C36" s="86" t="s">
        <v>72</v>
      </c>
      <c r="D36" s="59" t="s">
        <v>102</v>
      </c>
      <c r="E36" s="16">
        <f>E37</f>
        <v>81.599999999999994</v>
      </c>
      <c r="F36" s="16">
        <f t="shared" ref="F36:G36" si="12">F37</f>
        <v>81.599999999999994</v>
      </c>
      <c r="G36" s="16">
        <f t="shared" si="12"/>
        <v>81.599999999999994</v>
      </c>
    </row>
    <row r="37" spans="1:7" ht="31.5">
      <c r="A37" s="86" t="s">
        <v>47</v>
      </c>
      <c r="B37" s="86">
        <v>9990210510</v>
      </c>
      <c r="C37" s="86">
        <v>240</v>
      </c>
      <c r="D37" s="59" t="s">
        <v>315</v>
      </c>
      <c r="E37" s="16">
        <f>'№ 5'!F24</f>
        <v>81.599999999999994</v>
      </c>
      <c r="F37" s="16">
        <f>'№ 5'!G24</f>
        <v>81.599999999999994</v>
      </c>
      <c r="G37" s="16">
        <f>'№ 5'!H24</f>
        <v>81.599999999999994</v>
      </c>
    </row>
    <row r="38" spans="1:7" ht="47.25">
      <c r="A38" s="86" t="s">
        <v>47</v>
      </c>
      <c r="B38" s="86">
        <v>9990225000</v>
      </c>
      <c r="C38" s="86"/>
      <c r="D38" s="59" t="s">
        <v>130</v>
      </c>
      <c r="E38" s="16">
        <f>E39+E41</f>
        <v>21205.600000000002</v>
      </c>
      <c r="F38" s="16">
        <f t="shared" ref="F38:G38" si="13">F39+F41</f>
        <v>19568.400000000001</v>
      </c>
      <c r="G38" s="16">
        <f t="shared" si="13"/>
        <v>19568.400000000001</v>
      </c>
    </row>
    <row r="39" spans="1:7" ht="63">
      <c r="A39" s="86" t="s">
        <v>47</v>
      </c>
      <c r="B39" s="86">
        <v>9990225000</v>
      </c>
      <c r="C39" s="86" t="s">
        <v>71</v>
      </c>
      <c r="D39" s="59" t="s">
        <v>1</v>
      </c>
      <c r="E39" s="16">
        <f>E40</f>
        <v>21121.7</v>
      </c>
      <c r="F39" s="16">
        <f t="shared" ref="F39:G39" si="14">F40</f>
        <v>19484.5</v>
      </c>
      <c r="G39" s="16">
        <f t="shared" si="14"/>
        <v>19484.5</v>
      </c>
    </row>
    <row r="40" spans="1:7" ht="31.5">
      <c r="A40" s="86" t="s">
        <v>47</v>
      </c>
      <c r="B40" s="86">
        <v>9990225000</v>
      </c>
      <c r="C40" s="86">
        <v>120</v>
      </c>
      <c r="D40" s="59" t="s">
        <v>319</v>
      </c>
      <c r="E40" s="16">
        <f>'№ 5'!F27</f>
        <v>21121.7</v>
      </c>
      <c r="F40" s="16">
        <f>'№ 5'!G27</f>
        <v>19484.5</v>
      </c>
      <c r="G40" s="16">
        <f>'№ 5'!H27</f>
        <v>19484.5</v>
      </c>
    </row>
    <row r="41" spans="1:7">
      <c r="A41" s="86" t="s">
        <v>47</v>
      </c>
      <c r="B41" s="86">
        <v>9990225000</v>
      </c>
      <c r="C41" s="86" t="s">
        <v>73</v>
      </c>
      <c r="D41" s="59" t="s">
        <v>74</v>
      </c>
      <c r="E41" s="16">
        <f>E42</f>
        <v>83.9</v>
      </c>
      <c r="F41" s="16">
        <f t="shared" ref="F41:G41" si="15">F42</f>
        <v>83.9</v>
      </c>
      <c r="G41" s="16">
        <f t="shared" si="15"/>
        <v>83.9</v>
      </c>
    </row>
    <row r="42" spans="1:7">
      <c r="A42" s="86" t="s">
        <v>47</v>
      </c>
      <c r="B42" s="86">
        <v>9990225000</v>
      </c>
      <c r="C42" s="86">
        <v>850</v>
      </c>
      <c r="D42" s="59" t="s">
        <v>111</v>
      </c>
      <c r="E42" s="16">
        <f>'№ 5'!F29</f>
        <v>83.9</v>
      </c>
      <c r="F42" s="16">
        <f>'№ 5'!G29</f>
        <v>83.9</v>
      </c>
      <c r="G42" s="16">
        <f>'№ 5'!H29</f>
        <v>83.9</v>
      </c>
    </row>
    <row r="43" spans="1:7" ht="47.25">
      <c r="A43" s="86" t="s">
        <v>47</v>
      </c>
      <c r="B43" s="86">
        <v>9990226000</v>
      </c>
      <c r="C43" s="86"/>
      <c r="D43" s="59" t="s">
        <v>178</v>
      </c>
      <c r="E43" s="16">
        <f>E44</f>
        <v>209.9</v>
      </c>
      <c r="F43" s="16">
        <f t="shared" ref="F43:G44" si="16">F44</f>
        <v>80.7</v>
      </c>
      <c r="G43" s="16">
        <f t="shared" si="16"/>
        <v>80.7</v>
      </c>
    </row>
    <row r="44" spans="1:7" ht="63">
      <c r="A44" s="86" t="s">
        <v>47</v>
      </c>
      <c r="B44" s="86">
        <v>9990226000</v>
      </c>
      <c r="C44" s="86" t="s">
        <v>71</v>
      </c>
      <c r="D44" s="59" t="s">
        <v>1</v>
      </c>
      <c r="E44" s="16">
        <f>E45</f>
        <v>209.9</v>
      </c>
      <c r="F44" s="16">
        <f t="shared" si="16"/>
        <v>80.7</v>
      </c>
      <c r="G44" s="16">
        <f t="shared" si="16"/>
        <v>80.7</v>
      </c>
    </row>
    <row r="45" spans="1:7" ht="31.5">
      <c r="A45" s="86" t="s">
        <v>47</v>
      </c>
      <c r="B45" s="86">
        <v>9990226000</v>
      </c>
      <c r="C45" s="86">
        <v>120</v>
      </c>
      <c r="D45" s="59" t="s">
        <v>319</v>
      </c>
      <c r="E45" s="16">
        <f>'№ 5'!F32</f>
        <v>209.9</v>
      </c>
      <c r="F45" s="16">
        <f>'№ 5'!G32</f>
        <v>80.7</v>
      </c>
      <c r="G45" s="16">
        <f>'№ 5'!H32</f>
        <v>80.7</v>
      </c>
    </row>
    <row r="46" spans="1:7">
      <c r="A46" s="9" t="s">
        <v>187</v>
      </c>
      <c r="B46" s="10"/>
      <c r="C46" s="12"/>
      <c r="D46" s="42" t="s">
        <v>188</v>
      </c>
      <c r="E46" s="16">
        <f>E47</f>
        <v>28.6</v>
      </c>
      <c r="F46" s="16">
        <f t="shared" ref="F46:G50" si="17">F47</f>
        <v>29.9</v>
      </c>
      <c r="G46" s="16">
        <f t="shared" si="17"/>
        <v>30.9</v>
      </c>
    </row>
    <row r="47" spans="1:7">
      <c r="A47" s="9" t="s">
        <v>187</v>
      </c>
      <c r="B47" s="86">
        <v>9900000000</v>
      </c>
      <c r="C47" s="86"/>
      <c r="D47" s="59" t="s">
        <v>116</v>
      </c>
      <c r="E47" s="16">
        <f>E48</f>
        <v>28.6</v>
      </c>
      <c r="F47" s="16">
        <f t="shared" si="17"/>
        <v>29.9</v>
      </c>
      <c r="G47" s="16">
        <f t="shared" si="17"/>
        <v>30.9</v>
      </c>
    </row>
    <row r="48" spans="1:7" ht="31.5">
      <c r="A48" s="9" t="s">
        <v>187</v>
      </c>
      <c r="B48" s="86">
        <v>9930000000</v>
      </c>
      <c r="C48" s="86"/>
      <c r="D48" s="59" t="s">
        <v>189</v>
      </c>
      <c r="E48" s="16">
        <f>E49</f>
        <v>28.6</v>
      </c>
      <c r="F48" s="16">
        <f t="shared" si="17"/>
        <v>29.9</v>
      </c>
      <c r="G48" s="16">
        <f t="shared" si="17"/>
        <v>30.9</v>
      </c>
    </row>
    <row r="49" spans="1:7" ht="47.25">
      <c r="A49" s="9" t="s">
        <v>187</v>
      </c>
      <c r="B49" s="86">
        <v>9930051200</v>
      </c>
      <c r="C49" s="86"/>
      <c r="D49" s="59" t="s">
        <v>190</v>
      </c>
      <c r="E49" s="16">
        <f>E50</f>
        <v>28.6</v>
      </c>
      <c r="F49" s="16">
        <f t="shared" si="17"/>
        <v>29.9</v>
      </c>
      <c r="G49" s="16">
        <f t="shared" si="17"/>
        <v>30.9</v>
      </c>
    </row>
    <row r="50" spans="1:7" ht="31.5">
      <c r="A50" s="9" t="s">
        <v>187</v>
      </c>
      <c r="B50" s="86">
        <v>9930051200</v>
      </c>
      <c r="C50" s="86" t="s">
        <v>72</v>
      </c>
      <c r="D50" s="59" t="s">
        <v>102</v>
      </c>
      <c r="E50" s="16">
        <f>E51</f>
        <v>28.6</v>
      </c>
      <c r="F50" s="16">
        <f t="shared" si="17"/>
        <v>29.9</v>
      </c>
      <c r="G50" s="16">
        <f t="shared" si="17"/>
        <v>30.9</v>
      </c>
    </row>
    <row r="51" spans="1:7" ht="31.5">
      <c r="A51" s="9" t="s">
        <v>187</v>
      </c>
      <c r="B51" s="86">
        <v>9930051200</v>
      </c>
      <c r="C51" s="86">
        <v>240</v>
      </c>
      <c r="D51" s="59" t="s">
        <v>315</v>
      </c>
      <c r="E51" s="16">
        <f>'№ 5'!F38</f>
        <v>28.6</v>
      </c>
      <c r="F51" s="16">
        <f>'№ 5'!G38</f>
        <v>29.9</v>
      </c>
      <c r="G51" s="16">
        <f>'№ 5'!H38</f>
        <v>30.9</v>
      </c>
    </row>
    <row r="52" spans="1:7" ht="31.5">
      <c r="A52" s="86" t="s">
        <v>48</v>
      </c>
      <c r="B52" s="86" t="s">
        <v>69</v>
      </c>
      <c r="C52" s="86" t="s">
        <v>69</v>
      </c>
      <c r="D52" s="59" t="s">
        <v>8</v>
      </c>
      <c r="E52" s="16">
        <f>E53</f>
        <v>6771.7</v>
      </c>
      <c r="F52" s="16">
        <f t="shared" ref="F52:G55" si="18">F53</f>
        <v>6273.2999999999993</v>
      </c>
      <c r="G52" s="16">
        <f t="shared" si="18"/>
        <v>6273.2999999999993</v>
      </c>
    </row>
    <row r="53" spans="1:7">
      <c r="A53" s="86" t="s">
        <v>48</v>
      </c>
      <c r="B53" s="86">
        <v>9900000000</v>
      </c>
      <c r="C53" s="86"/>
      <c r="D53" s="59" t="s">
        <v>116</v>
      </c>
      <c r="E53" s="16">
        <f>E54</f>
        <v>6771.7</v>
      </c>
      <c r="F53" s="16">
        <f t="shared" si="18"/>
        <v>6273.2999999999993</v>
      </c>
      <c r="G53" s="16">
        <f t="shared" si="18"/>
        <v>6273.2999999999993</v>
      </c>
    </row>
    <row r="54" spans="1:7" ht="31.5">
      <c r="A54" s="86" t="s">
        <v>48</v>
      </c>
      <c r="B54" s="86">
        <v>9990000000</v>
      </c>
      <c r="C54" s="86"/>
      <c r="D54" s="59" t="s">
        <v>176</v>
      </c>
      <c r="E54" s="16">
        <f>E55</f>
        <v>6771.7</v>
      </c>
      <c r="F54" s="16">
        <f t="shared" si="18"/>
        <v>6273.2999999999993</v>
      </c>
      <c r="G54" s="16">
        <f t="shared" si="18"/>
        <v>6273.2999999999993</v>
      </c>
    </row>
    <row r="55" spans="1:7" ht="31.5">
      <c r="A55" s="86" t="s">
        <v>48</v>
      </c>
      <c r="B55" s="86">
        <v>9990200000</v>
      </c>
      <c r="C55" s="24"/>
      <c r="D55" s="59" t="s">
        <v>129</v>
      </c>
      <c r="E55" s="16">
        <f>E56</f>
        <v>6771.7</v>
      </c>
      <c r="F55" s="16">
        <f t="shared" si="18"/>
        <v>6273.2999999999993</v>
      </c>
      <c r="G55" s="16">
        <f t="shared" si="18"/>
        <v>6273.2999999999993</v>
      </c>
    </row>
    <row r="56" spans="1:7" ht="47.25">
      <c r="A56" s="86" t="s">
        <v>48</v>
      </c>
      <c r="B56" s="86">
        <v>9990225000</v>
      </c>
      <c r="C56" s="86"/>
      <c r="D56" s="59" t="s">
        <v>130</v>
      </c>
      <c r="E56" s="16">
        <f>E57+E59</f>
        <v>6771.7</v>
      </c>
      <c r="F56" s="16">
        <f t="shared" ref="F56:G56" si="19">F57+F59</f>
        <v>6273.2999999999993</v>
      </c>
      <c r="G56" s="16">
        <f t="shared" si="19"/>
        <v>6273.2999999999993</v>
      </c>
    </row>
    <row r="57" spans="1:7" ht="63">
      <c r="A57" s="86" t="s">
        <v>48</v>
      </c>
      <c r="B57" s="86">
        <v>9990225000</v>
      </c>
      <c r="C57" s="86" t="s">
        <v>71</v>
      </c>
      <c r="D57" s="59" t="s">
        <v>1</v>
      </c>
      <c r="E57" s="16">
        <f>E58</f>
        <v>6738</v>
      </c>
      <c r="F57" s="16">
        <f t="shared" ref="F57:G57" si="20">F58</f>
        <v>6178.9</v>
      </c>
      <c r="G57" s="16">
        <f t="shared" si="20"/>
        <v>6178.9</v>
      </c>
    </row>
    <row r="58" spans="1:7" ht="31.5">
      <c r="A58" s="86" t="s">
        <v>48</v>
      </c>
      <c r="B58" s="86">
        <v>9990225000</v>
      </c>
      <c r="C58" s="86">
        <v>120</v>
      </c>
      <c r="D58" s="59" t="s">
        <v>319</v>
      </c>
      <c r="E58" s="16">
        <f>'№ 5'!F501</f>
        <v>6738</v>
      </c>
      <c r="F58" s="16">
        <f>'№ 5'!G501</f>
        <v>6178.9</v>
      </c>
      <c r="G58" s="16">
        <f>'№ 5'!H501</f>
        <v>6178.9</v>
      </c>
    </row>
    <row r="59" spans="1:7">
      <c r="A59" s="86" t="s">
        <v>48</v>
      </c>
      <c r="B59" s="86">
        <v>9990225000</v>
      </c>
      <c r="C59" s="86" t="s">
        <v>73</v>
      </c>
      <c r="D59" s="59" t="s">
        <v>74</v>
      </c>
      <c r="E59" s="16">
        <f>E60</f>
        <v>33.700000000000003</v>
      </c>
      <c r="F59" s="16">
        <f t="shared" ref="F59:G59" si="21">F60</f>
        <v>94.4</v>
      </c>
      <c r="G59" s="16">
        <f t="shared" si="21"/>
        <v>94.4</v>
      </c>
    </row>
    <row r="60" spans="1:7">
      <c r="A60" s="86" t="s">
        <v>48</v>
      </c>
      <c r="B60" s="86">
        <v>9990225000</v>
      </c>
      <c r="C60" s="86">
        <v>850</v>
      </c>
      <c r="D60" s="59" t="s">
        <v>111</v>
      </c>
      <c r="E60" s="16">
        <f>'№ 5'!F503</f>
        <v>33.700000000000003</v>
      </c>
      <c r="F60" s="16">
        <f>'№ 5'!G503</f>
        <v>94.4</v>
      </c>
      <c r="G60" s="16">
        <f>'№ 5'!H503</f>
        <v>94.4</v>
      </c>
    </row>
    <row r="61" spans="1:7">
      <c r="A61" s="9" t="s">
        <v>393</v>
      </c>
      <c r="B61" s="86"/>
      <c r="C61" s="86"/>
      <c r="D61" s="42" t="s">
        <v>394</v>
      </c>
      <c r="E61" s="16">
        <f>E62</f>
        <v>486.6</v>
      </c>
      <c r="F61" s="16">
        <f t="shared" ref="F61:G65" si="22">F62</f>
        <v>0</v>
      </c>
      <c r="G61" s="16">
        <f t="shared" si="22"/>
        <v>0</v>
      </c>
    </row>
    <row r="62" spans="1:7">
      <c r="A62" s="9" t="s">
        <v>393</v>
      </c>
      <c r="B62" s="88" t="s">
        <v>121</v>
      </c>
      <c r="C62" s="88" t="s">
        <v>69</v>
      </c>
      <c r="D62" s="87" t="s">
        <v>116</v>
      </c>
      <c r="E62" s="16">
        <f>E63</f>
        <v>486.6</v>
      </c>
      <c r="F62" s="16">
        <f t="shared" si="22"/>
        <v>0</v>
      </c>
      <c r="G62" s="16">
        <f t="shared" si="22"/>
        <v>0</v>
      </c>
    </row>
    <row r="63" spans="1:7" ht="31.5">
      <c r="A63" s="9" t="s">
        <v>393</v>
      </c>
      <c r="B63" s="86">
        <v>9930000000</v>
      </c>
      <c r="C63" s="86"/>
      <c r="D63" s="66" t="s">
        <v>189</v>
      </c>
      <c r="E63" s="16">
        <f>E64</f>
        <v>486.6</v>
      </c>
      <c r="F63" s="16">
        <f t="shared" si="22"/>
        <v>0</v>
      </c>
      <c r="G63" s="16">
        <f t="shared" si="22"/>
        <v>0</v>
      </c>
    </row>
    <row r="64" spans="1:7" ht="31.5">
      <c r="A64" s="9" t="s">
        <v>393</v>
      </c>
      <c r="B64" s="88">
        <v>9930020480</v>
      </c>
      <c r="C64" s="88"/>
      <c r="D64" s="87" t="s">
        <v>395</v>
      </c>
      <c r="E64" s="16">
        <f>E65</f>
        <v>486.6</v>
      </c>
      <c r="F64" s="16">
        <f t="shared" si="22"/>
        <v>0</v>
      </c>
      <c r="G64" s="16">
        <f t="shared" si="22"/>
        <v>0</v>
      </c>
    </row>
    <row r="65" spans="1:7">
      <c r="A65" s="9" t="s">
        <v>393</v>
      </c>
      <c r="B65" s="88">
        <v>9930020480</v>
      </c>
      <c r="C65" s="86" t="s">
        <v>73</v>
      </c>
      <c r="D65" s="87" t="s">
        <v>74</v>
      </c>
      <c r="E65" s="16">
        <f>E66</f>
        <v>486.6</v>
      </c>
      <c r="F65" s="16">
        <f t="shared" si="22"/>
        <v>0</v>
      </c>
      <c r="G65" s="16">
        <f t="shared" si="22"/>
        <v>0</v>
      </c>
    </row>
    <row r="66" spans="1:7">
      <c r="A66" s="9" t="s">
        <v>393</v>
      </c>
      <c r="B66" s="88">
        <v>9930020480</v>
      </c>
      <c r="C66" s="86">
        <v>880</v>
      </c>
      <c r="D66" s="87" t="s">
        <v>396</v>
      </c>
      <c r="E66" s="16">
        <f>'№ 5'!F44</f>
        <v>486.6</v>
      </c>
      <c r="F66" s="16">
        <f>'№ 5'!G44</f>
        <v>0</v>
      </c>
      <c r="G66" s="16">
        <f>'№ 5'!H44</f>
        <v>0</v>
      </c>
    </row>
    <row r="67" spans="1:7">
      <c r="A67" s="22" t="s">
        <v>269</v>
      </c>
      <c r="B67" s="86"/>
      <c r="C67" s="86"/>
      <c r="D67" s="90" t="s">
        <v>270</v>
      </c>
      <c r="E67" s="16">
        <f t="shared" ref="E67:E72" si="23">E68</f>
        <v>88.6</v>
      </c>
      <c r="F67" s="16">
        <f t="shared" ref="F67:G72" si="24">F68</f>
        <v>88.6</v>
      </c>
      <c r="G67" s="16">
        <f t="shared" si="24"/>
        <v>88.6</v>
      </c>
    </row>
    <row r="68" spans="1:7" ht="47.25">
      <c r="A68" s="9" t="s">
        <v>269</v>
      </c>
      <c r="B68" s="88">
        <v>1200000000</v>
      </c>
      <c r="C68" s="86"/>
      <c r="D68" s="87" t="s">
        <v>216</v>
      </c>
      <c r="E68" s="16">
        <f t="shared" si="23"/>
        <v>88.6</v>
      </c>
      <c r="F68" s="16">
        <f t="shared" si="24"/>
        <v>88.6</v>
      </c>
      <c r="G68" s="16">
        <f t="shared" si="24"/>
        <v>88.6</v>
      </c>
    </row>
    <row r="69" spans="1:7" ht="31.5">
      <c r="A69" s="9" t="s">
        <v>269</v>
      </c>
      <c r="B69" s="86">
        <v>1240000000</v>
      </c>
      <c r="C69" s="86"/>
      <c r="D69" s="87" t="s">
        <v>150</v>
      </c>
      <c r="E69" s="16">
        <f t="shared" si="23"/>
        <v>88.6</v>
      </c>
      <c r="F69" s="16">
        <f t="shared" si="24"/>
        <v>88.6</v>
      </c>
      <c r="G69" s="16">
        <f t="shared" si="24"/>
        <v>88.6</v>
      </c>
    </row>
    <row r="70" spans="1:7" ht="31.5">
      <c r="A70" s="22" t="s">
        <v>269</v>
      </c>
      <c r="B70" s="86">
        <v>1240500000</v>
      </c>
      <c r="C70" s="86"/>
      <c r="D70" s="87" t="s">
        <v>151</v>
      </c>
      <c r="E70" s="16">
        <f t="shared" si="23"/>
        <v>88.6</v>
      </c>
      <c r="F70" s="16">
        <f t="shared" si="24"/>
        <v>88.6</v>
      </c>
      <c r="G70" s="16">
        <f t="shared" si="24"/>
        <v>88.6</v>
      </c>
    </row>
    <row r="71" spans="1:7" ht="31.5">
      <c r="A71" s="9" t="s">
        <v>269</v>
      </c>
      <c r="B71" s="86">
        <v>1240520410</v>
      </c>
      <c r="C71" s="86"/>
      <c r="D71" s="87" t="s">
        <v>256</v>
      </c>
      <c r="E71" s="16">
        <f t="shared" si="23"/>
        <v>88.6</v>
      </c>
      <c r="F71" s="16">
        <f t="shared" si="24"/>
        <v>88.6</v>
      </c>
      <c r="G71" s="16">
        <f t="shared" si="24"/>
        <v>88.6</v>
      </c>
    </row>
    <row r="72" spans="1:7">
      <c r="A72" s="9" t="s">
        <v>269</v>
      </c>
      <c r="B72" s="86">
        <v>1240520410</v>
      </c>
      <c r="C72" s="86" t="s">
        <v>73</v>
      </c>
      <c r="D72" s="87" t="s">
        <v>74</v>
      </c>
      <c r="E72" s="16">
        <f t="shared" si="23"/>
        <v>88.6</v>
      </c>
      <c r="F72" s="16">
        <f t="shared" si="24"/>
        <v>88.6</v>
      </c>
      <c r="G72" s="16">
        <f t="shared" si="24"/>
        <v>88.6</v>
      </c>
    </row>
    <row r="73" spans="1:7" ht="31.5">
      <c r="A73" s="9" t="s">
        <v>269</v>
      </c>
      <c r="B73" s="86">
        <v>1240520410</v>
      </c>
      <c r="C73" s="86">
        <v>860</v>
      </c>
      <c r="D73" s="87" t="s">
        <v>321</v>
      </c>
      <c r="E73" s="16">
        <f>'№ 5'!F51</f>
        <v>88.6</v>
      </c>
      <c r="F73" s="16">
        <f>'№ 5'!G51</f>
        <v>88.6</v>
      </c>
      <c r="G73" s="16">
        <f>'№ 5'!H51</f>
        <v>88.6</v>
      </c>
    </row>
    <row r="74" spans="1:7">
      <c r="A74" s="86" t="s">
        <v>49</v>
      </c>
      <c r="B74" s="86"/>
      <c r="C74" s="86"/>
      <c r="D74" s="59" t="s">
        <v>9</v>
      </c>
      <c r="E74" s="16">
        <f>E75</f>
        <v>392.6</v>
      </c>
      <c r="F74" s="16">
        <f t="shared" ref="F74:G78" si="25">F75</f>
        <v>800</v>
      </c>
      <c r="G74" s="16">
        <f t="shared" si="25"/>
        <v>474.9</v>
      </c>
    </row>
    <row r="75" spans="1:7">
      <c r="A75" s="86" t="s">
        <v>49</v>
      </c>
      <c r="B75" s="86">
        <v>9900000000</v>
      </c>
      <c r="C75" s="86"/>
      <c r="D75" s="59" t="s">
        <v>116</v>
      </c>
      <c r="E75" s="16">
        <f>E76</f>
        <v>392.6</v>
      </c>
      <c r="F75" s="16">
        <f t="shared" si="25"/>
        <v>800</v>
      </c>
      <c r="G75" s="16">
        <f t="shared" si="25"/>
        <v>474.9</v>
      </c>
    </row>
    <row r="76" spans="1:7">
      <c r="A76" s="86" t="s">
        <v>49</v>
      </c>
      <c r="B76" s="86">
        <v>9910000000</v>
      </c>
      <c r="C76" s="86"/>
      <c r="D76" s="59" t="s">
        <v>9</v>
      </c>
      <c r="E76" s="16">
        <f>E77</f>
        <v>392.6</v>
      </c>
      <c r="F76" s="16">
        <f t="shared" si="25"/>
        <v>800</v>
      </c>
      <c r="G76" s="16">
        <f t="shared" si="25"/>
        <v>474.9</v>
      </c>
    </row>
    <row r="77" spans="1:7" ht="31.5">
      <c r="A77" s="86" t="s">
        <v>49</v>
      </c>
      <c r="B77" s="86">
        <v>9910020000</v>
      </c>
      <c r="C77" s="86"/>
      <c r="D77" s="59" t="s">
        <v>194</v>
      </c>
      <c r="E77" s="16">
        <f>E78</f>
        <v>392.6</v>
      </c>
      <c r="F77" s="16">
        <f t="shared" si="25"/>
        <v>800</v>
      </c>
      <c r="G77" s="16">
        <f t="shared" si="25"/>
        <v>474.9</v>
      </c>
    </row>
    <row r="78" spans="1:7">
      <c r="A78" s="86" t="s">
        <v>49</v>
      </c>
      <c r="B78" s="86">
        <v>9910020000</v>
      </c>
      <c r="C78" s="88" t="s">
        <v>73</v>
      </c>
      <c r="D78" s="87" t="s">
        <v>74</v>
      </c>
      <c r="E78" s="16">
        <f>E79</f>
        <v>392.6</v>
      </c>
      <c r="F78" s="16">
        <f t="shared" si="25"/>
        <v>800</v>
      </c>
      <c r="G78" s="16">
        <f t="shared" si="25"/>
        <v>474.9</v>
      </c>
    </row>
    <row r="79" spans="1:7">
      <c r="A79" s="86" t="s">
        <v>49</v>
      </c>
      <c r="B79" s="86">
        <v>9910020000</v>
      </c>
      <c r="C79" s="2" t="s">
        <v>195</v>
      </c>
      <c r="D79" s="57" t="s">
        <v>196</v>
      </c>
      <c r="E79" s="16">
        <f>'№ 5'!F509</f>
        <v>392.6</v>
      </c>
      <c r="F79" s="16">
        <f>'№ 5'!G509</f>
        <v>800</v>
      </c>
      <c r="G79" s="16">
        <f>'№ 5'!H509</f>
        <v>474.9</v>
      </c>
    </row>
    <row r="80" spans="1:7">
      <c r="A80" s="89" t="s">
        <v>63</v>
      </c>
      <c r="B80" s="89" t="s">
        <v>69</v>
      </c>
      <c r="C80" s="89" t="s">
        <v>69</v>
      </c>
      <c r="D80" s="90" t="s">
        <v>25</v>
      </c>
      <c r="E80" s="7">
        <f>E81+E99+E109+E137</f>
        <v>38344.300000000003</v>
      </c>
      <c r="F80" s="7">
        <f>F81+F99+F109+F137</f>
        <v>39509.800000000003</v>
      </c>
      <c r="G80" s="7">
        <f>G81+G99+G109+G137</f>
        <v>38948</v>
      </c>
    </row>
    <row r="81" spans="1:7" ht="47.25">
      <c r="A81" s="86" t="s">
        <v>63</v>
      </c>
      <c r="B81" s="88">
        <v>1200000000</v>
      </c>
      <c r="C81" s="86"/>
      <c r="D81" s="59" t="s">
        <v>216</v>
      </c>
      <c r="E81" s="16">
        <f>E82</f>
        <v>718.89999999999986</v>
      </c>
      <c r="F81" s="16">
        <f t="shared" ref="F81:G81" si="26">F82</f>
        <v>718.9</v>
      </c>
      <c r="G81" s="16">
        <f t="shared" si="26"/>
        <v>434.9</v>
      </c>
    </row>
    <row r="82" spans="1:7" ht="31.5">
      <c r="A82" s="86" t="s">
        <v>63</v>
      </c>
      <c r="B82" s="86">
        <v>1240000000</v>
      </c>
      <c r="C82" s="86"/>
      <c r="D82" s="59" t="s">
        <v>150</v>
      </c>
      <c r="E82" s="16">
        <f>E83+E92</f>
        <v>718.89999999999986</v>
      </c>
      <c r="F82" s="16">
        <f>F83+F92</f>
        <v>718.9</v>
      </c>
      <c r="G82" s="16">
        <f>G83+G92</f>
        <v>434.9</v>
      </c>
    </row>
    <row r="83" spans="1:7" ht="31.5">
      <c r="A83" s="86" t="s">
        <v>63</v>
      </c>
      <c r="B83" s="86">
        <v>1240200000</v>
      </c>
      <c r="C83" s="86"/>
      <c r="D83" s="59" t="s">
        <v>169</v>
      </c>
      <c r="E83" s="16">
        <f>E84+E89</f>
        <v>115.3</v>
      </c>
      <c r="F83" s="16">
        <f t="shared" ref="F83:G83" si="27">F84+F89</f>
        <v>84</v>
      </c>
      <c r="G83" s="16">
        <f t="shared" si="27"/>
        <v>0</v>
      </c>
    </row>
    <row r="84" spans="1:7">
      <c r="A84" s="86" t="s">
        <v>63</v>
      </c>
      <c r="B84" s="86">
        <v>1240220340</v>
      </c>
      <c r="C84" s="86"/>
      <c r="D84" s="59" t="s">
        <v>180</v>
      </c>
      <c r="E84" s="16">
        <f>E85+E87</f>
        <v>108.7</v>
      </c>
      <c r="F84" s="16">
        <f t="shared" ref="F84:G84" si="28">F85+F87</f>
        <v>77.400000000000006</v>
      </c>
      <c r="G84" s="16">
        <f t="shared" si="28"/>
        <v>0</v>
      </c>
    </row>
    <row r="85" spans="1:7" ht="31.5">
      <c r="A85" s="86" t="s">
        <v>63</v>
      </c>
      <c r="B85" s="86">
        <v>1240220340</v>
      </c>
      <c r="C85" s="88" t="s">
        <v>72</v>
      </c>
      <c r="D85" s="87" t="s">
        <v>102</v>
      </c>
      <c r="E85" s="16">
        <f>E86</f>
        <v>78.7</v>
      </c>
      <c r="F85" s="16">
        <f t="shared" ref="F85:G85" si="29">F86</f>
        <v>47.4</v>
      </c>
      <c r="G85" s="16">
        <f t="shared" si="29"/>
        <v>0</v>
      </c>
    </row>
    <row r="86" spans="1:7" ht="31.5">
      <c r="A86" s="86" t="s">
        <v>63</v>
      </c>
      <c r="B86" s="86">
        <v>1240220340</v>
      </c>
      <c r="C86" s="86">
        <v>240</v>
      </c>
      <c r="D86" s="59" t="s">
        <v>315</v>
      </c>
      <c r="E86" s="16">
        <f>'№ 5'!F58</f>
        <v>78.7</v>
      </c>
      <c r="F86" s="16">
        <f>'№ 5'!G58</f>
        <v>47.4</v>
      </c>
      <c r="G86" s="16">
        <f>'№ 5'!H58</f>
        <v>0</v>
      </c>
    </row>
    <row r="87" spans="1:7">
      <c r="A87" s="86" t="s">
        <v>63</v>
      </c>
      <c r="B87" s="86">
        <v>1240220340</v>
      </c>
      <c r="C87" s="88" t="s">
        <v>76</v>
      </c>
      <c r="D87" s="87" t="s">
        <v>77</v>
      </c>
      <c r="E87" s="16">
        <f>E88</f>
        <v>30</v>
      </c>
      <c r="F87" s="16">
        <f t="shared" ref="F87:G87" si="30">F88</f>
        <v>30</v>
      </c>
      <c r="G87" s="16">
        <f t="shared" si="30"/>
        <v>0</v>
      </c>
    </row>
    <row r="88" spans="1:7">
      <c r="A88" s="86" t="s">
        <v>63</v>
      </c>
      <c r="B88" s="86">
        <v>1240220340</v>
      </c>
      <c r="C88" s="86">
        <v>350</v>
      </c>
      <c r="D88" s="57" t="s">
        <v>181</v>
      </c>
      <c r="E88" s="16">
        <f>'№ 5'!F60</f>
        <v>30</v>
      </c>
      <c r="F88" s="16">
        <f>'№ 5'!G60</f>
        <v>30</v>
      </c>
      <c r="G88" s="16">
        <f>'№ 5'!H60</f>
        <v>0</v>
      </c>
    </row>
    <row r="89" spans="1:7" ht="31.5">
      <c r="A89" s="86" t="s">
        <v>63</v>
      </c>
      <c r="B89" s="86">
        <v>1240220360</v>
      </c>
      <c r="C89" s="86"/>
      <c r="D89" s="57" t="s">
        <v>324</v>
      </c>
      <c r="E89" s="16">
        <f>E90</f>
        <v>6.6</v>
      </c>
      <c r="F89" s="16">
        <f t="shared" ref="F89:G90" si="31">F90</f>
        <v>6.6</v>
      </c>
      <c r="G89" s="16">
        <f t="shared" si="31"/>
        <v>0</v>
      </c>
    </row>
    <row r="90" spans="1:7">
      <c r="A90" s="86" t="s">
        <v>63</v>
      </c>
      <c r="B90" s="86">
        <v>1240220360</v>
      </c>
      <c r="C90" s="88" t="s">
        <v>76</v>
      </c>
      <c r="D90" s="87" t="s">
        <v>77</v>
      </c>
      <c r="E90" s="16">
        <f>E91</f>
        <v>6.6</v>
      </c>
      <c r="F90" s="16">
        <f t="shared" si="31"/>
        <v>6.6</v>
      </c>
      <c r="G90" s="16">
        <f t="shared" si="31"/>
        <v>0</v>
      </c>
    </row>
    <row r="91" spans="1:7">
      <c r="A91" s="86" t="s">
        <v>63</v>
      </c>
      <c r="B91" s="86">
        <v>1240220360</v>
      </c>
      <c r="C91" s="86">
        <v>350</v>
      </c>
      <c r="D91" s="57" t="s">
        <v>181</v>
      </c>
      <c r="E91" s="16">
        <f>'№ 5'!F63</f>
        <v>6.6</v>
      </c>
      <c r="F91" s="16">
        <f>'№ 5'!G63</f>
        <v>6.6</v>
      </c>
      <c r="G91" s="16">
        <f>'№ 5'!H63</f>
        <v>0</v>
      </c>
    </row>
    <row r="92" spans="1:7" ht="31.5">
      <c r="A92" s="86" t="s">
        <v>63</v>
      </c>
      <c r="B92" s="86">
        <v>1240500000</v>
      </c>
      <c r="C92" s="86"/>
      <c r="D92" s="59" t="s">
        <v>151</v>
      </c>
      <c r="E92" s="16">
        <f>E93+E96</f>
        <v>603.59999999999991</v>
      </c>
      <c r="F92" s="16">
        <f t="shared" ref="F92:G92" si="32">F93+F96</f>
        <v>634.9</v>
      </c>
      <c r="G92" s="16">
        <f t="shared" si="32"/>
        <v>434.9</v>
      </c>
    </row>
    <row r="93" spans="1:7" ht="31.5">
      <c r="A93" s="86" t="s">
        <v>63</v>
      </c>
      <c r="B93" s="86">
        <v>1240520410</v>
      </c>
      <c r="C93" s="86"/>
      <c r="D93" s="59" t="s">
        <v>256</v>
      </c>
      <c r="E93" s="16">
        <f>E94</f>
        <v>119.5</v>
      </c>
      <c r="F93" s="16">
        <f t="shared" ref="F93:G94" si="33">F94</f>
        <v>119.5</v>
      </c>
      <c r="G93" s="16">
        <f t="shared" si="33"/>
        <v>119.5</v>
      </c>
    </row>
    <row r="94" spans="1:7">
      <c r="A94" s="86" t="s">
        <v>63</v>
      </c>
      <c r="B94" s="86">
        <v>1240520410</v>
      </c>
      <c r="C94" s="86" t="s">
        <v>73</v>
      </c>
      <c r="D94" s="59" t="s">
        <v>74</v>
      </c>
      <c r="E94" s="16">
        <f>E95</f>
        <v>119.5</v>
      </c>
      <c r="F94" s="16">
        <f t="shared" si="33"/>
        <v>119.5</v>
      </c>
      <c r="G94" s="16">
        <f t="shared" si="33"/>
        <v>119.5</v>
      </c>
    </row>
    <row r="95" spans="1:7">
      <c r="A95" s="86" t="s">
        <v>63</v>
      </c>
      <c r="B95" s="86">
        <v>1240520410</v>
      </c>
      <c r="C95" s="86">
        <v>850</v>
      </c>
      <c r="D95" s="59" t="s">
        <v>111</v>
      </c>
      <c r="E95" s="16">
        <f>'№ 5'!F67</f>
        <v>119.5</v>
      </c>
      <c r="F95" s="16">
        <f>'№ 5'!G67</f>
        <v>119.5</v>
      </c>
      <c r="G95" s="16">
        <f>'№ 5'!H67</f>
        <v>119.5</v>
      </c>
    </row>
    <row r="96" spans="1:7" ht="31.5">
      <c r="A96" s="86" t="s">
        <v>63</v>
      </c>
      <c r="B96" s="86">
        <v>1240520460</v>
      </c>
      <c r="C96" s="86"/>
      <c r="D96" s="59" t="s">
        <v>274</v>
      </c>
      <c r="E96" s="16">
        <f>E97</f>
        <v>484.09999999999997</v>
      </c>
      <c r="F96" s="16">
        <f t="shared" ref="F96:G97" si="34">F97</f>
        <v>515.4</v>
      </c>
      <c r="G96" s="16">
        <f t="shared" si="34"/>
        <v>315.39999999999998</v>
      </c>
    </row>
    <row r="97" spans="1:7" ht="31.5">
      <c r="A97" s="86" t="s">
        <v>63</v>
      </c>
      <c r="B97" s="86">
        <v>1240520460</v>
      </c>
      <c r="C97" s="88" t="s">
        <v>72</v>
      </c>
      <c r="D97" s="87" t="s">
        <v>102</v>
      </c>
      <c r="E97" s="16">
        <f>E98</f>
        <v>484.09999999999997</v>
      </c>
      <c r="F97" s="16">
        <f t="shared" si="34"/>
        <v>515.4</v>
      </c>
      <c r="G97" s="16">
        <f t="shared" si="34"/>
        <v>315.39999999999998</v>
      </c>
    </row>
    <row r="98" spans="1:7" ht="31.5">
      <c r="A98" s="86" t="s">
        <v>63</v>
      </c>
      <c r="B98" s="86">
        <v>1240520460</v>
      </c>
      <c r="C98" s="86">
        <v>240</v>
      </c>
      <c r="D98" s="59" t="s">
        <v>315</v>
      </c>
      <c r="E98" s="16">
        <f>'№ 5'!F70</f>
        <v>484.09999999999997</v>
      </c>
      <c r="F98" s="16">
        <f>'№ 5'!G70</f>
        <v>515.4</v>
      </c>
      <c r="G98" s="16">
        <f>'№ 5'!H70</f>
        <v>315.39999999999998</v>
      </c>
    </row>
    <row r="99" spans="1:7" ht="31.5">
      <c r="A99" s="86" t="s">
        <v>63</v>
      </c>
      <c r="B99" s="88">
        <v>1500000000</v>
      </c>
      <c r="C99" s="86"/>
      <c r="D99" s="59" t="s">
        <v>217</v>
      </c>
      <c r="E99" s="16">
        <f>E100</f>
        <v>114.4</v>
      </c>
      <c r="F99" s="16">
        <f t="shared" ref="F99:G103" si="35">F100</f>
        <v>111.4</v>
      </c>
      <c r="G99" s="16">
        <f t="shared" si="35"/>
        <v>0</v>
      </c>
    </row>
    <row r="100" spans="1:7">
      <c r="A100" s="86" t="s">
        <v>63</v>
      </c>
      <c r="B100" s="86">
        <v>1510000000</v>
      </c>
      <c r="C100" s="86"/>
      <c r="D100" s="59" t="s">
        <v>183</v>
      </c>
      <c r="E100" s="16">
        <f>E101+E105</f>
        <v>114.4</v>
      </c>
      <c r="F100" s="16">
        <f t="shared" ref="F100:G100" si="36">F101+F105</f>
        <v>111.4</v>
      </c>
      <c r="G100" s="16">
        <f t="shared" si="36"/>
        <v>0</v>
      </c>
    </row>
    <row r="101" spans="1:7" ht="47.25">
      <c r="A101" s="86" t="s">
        <v>63</v>
      </c>
      <c r="B101" s="86">
        <v>1510200000</v>
      </c>
      <c r="C101" s="86"/>
      <c r="D101" s="59" t="s">
        <v>218</v>
      </c>
      <c r="E101" s="16">
        <f>E102</f>
        <v>111.4</v>
      </c>
      <c r="F101" s="16">
        <f t="shared" si="35"/>
        <v>111.4</v>
      </c>
      <c r="G101" s="16">
        <f t="shared" si="35"/>
        <v>0</v>
      </c>
    </row>
    <row r="102" spans="1:7" ht="31.5">
      <c r="A102" s="86" t="s">
        <v>63</v>
      </c>
      <c r="B102" s="86">
        <v>1510220170</v>
      </c>
      <c r="C102" s="86"/>
      <c r="D102" s="59" t="s">
        <v>219</v>
      </c>
      <c r="E102" s="16">
        <f>E103</f>
        <v>111.4</v>
      </c>
      <c r="F102" s="16">
        <f t="shared" si="35"/>
        <v>111.4</v>
      </c>
      <c r="G102" s="16">
        <f t="shared" si="35"/>
        <v>0</v>
      </c>
    </row>
    <row r="103" spans="1:7">
      <c r="A103" s="86" t="s">
        <v>63</v>
      </c>
      <c r="B103" s="86">
        <v>1510220170</v>
      </c>
      <c r="C103" s="88" t="s">
        <v>76</v>
      </c>
      <c r="D103" s="87" t="s">
        <v>77</v>
      </c>
      <c r="E103" s="16">
        <f>E104</f>
        <v>111.4</v>
      </c>
      <c r="F103" s="16">
        <f t="shared" si="35"/>
        <v>111.4</v>
      </c>
      <c r="G103" s="16">
        <f t="shared" si="35"/>
        <v>0</v>
      </c>
    </row>
    <row r="104" spans="1:7">
      <c r="A104" s="86" t="s">
        <v>63</v>
      </c>
      <c r="B104" s="86">
        <v>1510220170</v>
      </c>
      <c r="C104" s="1" t="s">
        <v>185</v>
      </c>
      <c r="D104" s="60" t="s">
        <v>184</v>
      </c>
      <c r="E104" s="16">
        <f>'№ 5'!F76</f>
        <v>111.4</v>
      </c>
      <c r="F104" s="16">
        <f>'№ 5'!G76</f>
        <v>111.4</v>
      </c>
      <c r="G104" s="16">
        <f>'№ 5'!H76</f>
        <v>0</v>
      </c>
    </row>
    <row r="105" spans="1:7">
      <c r="A105" s="128" t="s">
        <v>63</v>
      </c>
      <c r="B105" s="128">
        <v>1510300000</v>
      </c>
      <c r="C105" s="1"/>
      <c r="D105" s="129" t="s">
        <v>478</v>
      </c>
      <c r="E105" s="21">
        <f>E106</f>
        <v>3</v>
      </c>
      <c r="F105" s="21">
        <f t="shared" ref="F105:G107" si="37">F106</f>
        <v>0</v>
      </c>
      <c r="G105" s="21">
        <f t="shared" si="37"/>
        <v>0</v>
      </c>
    </row>
    <row r="106" spans="1:7" ht="31.5">
      <c r="A106" s="128" t="s">
        <v>63</v>
      </c>
      <c r="B106" s="128">
        <v>1510320190</v>
      </c>
      <c r="C106" s="1"/>
      <c r="D106" s="129" t="s">
        <v>479</v>
      </c>
      <c r="E106" s="21">
        <f>E107</f>
        <v>3</v>
      </c>
      <c r="F106" s="21">
        <f t="shared" si="37"/>
        <v>0</v>
      </c>
      <c r="G106" s="21">
        <f t="shared" si="37"/>
        <v>0</v>
      </c>
    </row>
    <row r="107" spans="1:7" ht="31.5">
      <c r="A107" s="128" t="s">
        <v>63</v>
      </c>
      <c r="B107" s="128">
        <v>1510320190</v>
      </c>
      <c r="C107" s="130" t="s">
        <v>72</v>
      </c>
      <c r="D107" s="129" t="s">
        <v>102</v>
      </c>
      <c r="E107" s="21">
        <f>E108</f>
        <v>3</v>
      </c>
      <c r="F107" s="21">
        <f t="shared" si="37"/>
        <v>0</v>
      </c>
      <c r="G107" s="21">
        <f t="shared" si="37"/>
        <v>0</v>
      </c>
    </row>
    <row r="108" spans="1:7" ht="31.5">
      <c r="A108" s="128" t="s">
        <v>63</v>
      </c>
      <c r="B108" s="128">
        <v>1510320190</v>
      </c>
      <c r="C108" s="128">
        <v>240</v>
      </c>
      <c r="D108" s="129" t="s">
        <v>315</v>
      </c>
      <c r="E108" s="21">
        <f>'№ 5'!F80</f>
        <v>3</v>
      </c>
      <c r="F108" s="21">
        <f>'№ 5'!G80</f>
        <v>0</v>
      </c>
      <c r="G108" s="21">
        <f>'№ 5'!H80</f>
        <v>0</v>
      </c>
    </row>
    <row r="109" spans="1:7" ht="47.25">
      <c r="A109" s="88" t="s">
        <v>63</v>
      </c>
      <c r="B109" s="88">
        <v>1600000000</v>
      </c>
      <c r="C109" s="88"/>
      <c r="D109" s="87" t="s">
        <v>125</v>
      </c>
      <c r="E109" s="16">
        <f>E110+E120+E132</f>
        <v>5565.2999999999993</v>
      </c>
      <c r="F109" s="16">
        <f>F110+F120+F132</f>
        <v>5346</v>
      </c>
      <c r="G109" s="16">
        <f>G110+G120+G132</f>
        <v>5179.6000000000004</v>
      </c>
    </row>
    <row r="110" spans="1:7" ht="31.5">
      <c r="A110" s="88" t="s">
        <v>63</v>
      </c>
      <c r="B110" s="88">
        <v>1620000000</v>
      </c>
      <c r="C110" s="88"/>
      <c r="D110" s="87" t="s">
        <v>118</v>
      </c>
      <c r="E110" s="16">
        <f>E111</f>
        <v>3336.0999999999995</v>
      </c>
      <c r="F110" s="16">
        <f t="shared" ref="F110:G110" si="38">F111</f>
        <v>2836.5</v>
      </c>
      <c r="G110" s="16">
        <f t="shared" si="38"/>
        <v>2710.5</v>
      </c>
    </row>
    <row r="111" spans="1:7">
      <c r="A111" s="88" t="s">
        <v>63</v>
      </c>
      <c r="B111" s="88">
        <v>1620100000</v>
      </c>
      <c r="C111" s="88"/>
      <c r="D111" s="87" t="s">
        <v>119</v>
      </c>
      <c r="E111" s="16">
        <f>E112+E115</f>
        <v>3336.0999999999995</v>
      </c>
      <c r="F111" s="16">
        <f t="shared" ref="F111:G111" si="39">F112+F115</f>
        <v>2836.5</v>
      </c>
      <c r="G111" s="16">
        <f t="shared" si="39"/>
        <v>2710.5</v>
      </c>
    </row>
    <row r="112" spans="1:7">
      <c r="A112" s="88" t="s">
        <v>63</v>
      </c>
      <c r="B112" s="88">
        <v>1620120210</v>
      </c>
      <c r="C112" s="18"/>
      <c r="D112" s="87" t="s">
        <v>120</v>
      </c>
      <c r="E112" s="16">
        <f>E113</f>
        <v>3068.4999999999995</v>
      </c>
      <c r="F112" s="16">
        <f t="shared" ref="F112:G112" si="40">F113</f>
        <v>2710.5</v>
      </c>
      <c r="G112" s="16">
        <f t="shared" si="40"/>
        <v>2710.5</v>
      </c>
    </row>
    <row r="113" spans="1:7" ht="31.5">
      <c r="A113" s="88" t="s">
        <v>63</v>
      </c>
      <c r="B113" s="88">
        <v>1620120210</v>
      </c>
      <c r="C113" s="88" t="s">
        <v>72</v>
      </c>
      <c r="D113" s="87" t="s">
        <v>102</v>
      </c>
      <c r="E113" s="16">
        <f>'№ 5'!F86+'№ 5'!F536</f>
        <v>3068.4999999999995</v>
      </c>
      <c r="F113" s="16">
        <f>'№ 5'!G86+'№ 5'!G536</f>
        <v>2710.5</v>
      </c>
      <c r="G113" s="16">
        <f>'№ 5'!H86+'№ 5'!H536</f>
        <v>2710.5</v>
      </c>
    </row>
    <row r="114" spans="1:7" ht="31.5">
      <c r="A114" s="88" t="s">
        <v>63</v>
      </c>
      <c r="B114" s="88">
        <v>1620120210</v>
      </c>
      <c r="C114" s="86">
        <v>240</v>
      </c>
      <c r="D114" s="87" t="s">
        <v>315</v>
      </c>
      <c r="E114" s="16">
        <f>'№ 5'!F86+'№ 5'!F536</f>
        <v>3068.4999999999995</v>
      </c>
      <c r="F114" s="16">
        <f>'№ 5'!G86+'№ 5'!G536</f>
        <v>2710.5</v>
      </c>
      <c r="G114" s="16">
        <f>'№ 5'!H86+'№ 5'!H536</f>
        <v>2710.5</v>
      </c>
    </row>
    <row r="115" spans="1:7" ht="31.5">
      <c r="A115" s="88" t="s">
        <v>63</v>
      </c>
      <c r="B115" s="88">
        <v>1620120220</v>
      </c>
      <c r="C115" s="86"/>
      <c r="D115" s="87" t="s">
        <v>117</v>
      </c>
      <c r="E115" s="16">
        <f>E116+E118</f>
        <v>267.60000000000002</v>
      </c>
      <c r="F115" s="16">
        <f t="shared" ref="F115:G115" si="41">F116+F118</f>
        <v>126</v>
      </c>
      <c r="G115" s="16">
        <f t="shared" si="41"/>
        <v>0</v>
      </c>
    </row>
    <row r="116" spans="1:7" ht="31.5">
      <c r="A116" s="88" t="s">
        <v>63</v>
      </c>
      <c r="B116" s="88">
        <v>1620120220</v>
      </c>
      <c r="C116" s="88" t="s">
        <v>72</v>
      </c>
      <c r="D116" s="87" t="s">
        <v>102</v>
      </c>
      <c r="E116" s="16">
        <f>E117</f>
        <v>247.6</v>
      </c>
      <c r="F116" s="16">
        <f t="shared" ref="F116:G116" si="42">F117</f>
        <v>126</v>
      </c>
      <c r="G116" s="16">
        <f t="shared" si="42"/>
        <v>0</v>
      </c>
    </row>
    <row r="117" spans="1:7" ht="31.5">
      <c r="A117" s="88" t="s">
        <v>63</v>
      </c>
      <c r="B117" s="88">
        <v>1620120220</v>
      </c>
      <c r="C117" s="86">
        <v>240</v>
      </c>
      <c r="D117" s="87" t="s">
        <v>315</v>
      </c>
      <c r="E117" s="16">
        <f>'№ 5'!F539</f>
        <v>247.6</v>
      </c>
      <c r="F117" s="16">
        <f>'№ 5'!G539</f>
        <v>126</v>
      </c>
      <c r="G117" s="16">
        <f>'№ 5'!H539</f>
        <v>0</v>
      </c>
    </row>
    <row r="118" spans="1:7">
      <c r="A118" s="88" t="s">
        <v>63</v>
      </c>
      <c r="B118" s="88">
        <v>1620120220</v>
      </c>
      <c r="C118" s="11" t="s">
        <v>73</v>
      </c>
      <c r="D118" s="42" t="s">
        <v>74</v>
      </c>
      <c r="E118" s="16">
        <f>E119</f>
        <v>20</v>
      </c>
      <c r="F118" s="16">
        <f t="shared" ref="F118:G118" si="43">F119</f>
        <v>0</v>
      </c>
      <c r="G118" s="16">
        <f t="shared" si="43"/>
        <v>0</v>
      </c>
    </row>
    <row r="119" spans="1:7">
      <c r="A119" s="88" t="s">
        <v>63</v>
      </c>
      <c r="B119" s="88">
        <v>1620120220</v>
      </c>
      <c r="C119" s="1" t="s">
        <v>366</v>
      </c>
      <c r="D119" s="69" t="s">
        <v>367</v>
      </c>
      <c r="E119" s="16">
        <f>'№ 5'!F541</f>
        <v>20</v>
      </c>
      <c r="F119" s="16">
        <f>'№ 5'!G541</f>
        <v>0</v>
      </c>
      <c r="G119" s="16">
        <f>'№ 5'!H541</f>
        <v>0</v>
      </c>
    </row>
    <row r="120" spans="1:7" ht="47.25">
      <c r="A120" s="88" t="s">
        <v>63</v>
      </c>
      <c r="B120" s="88">
        <v>1630000000</v>
      </c>
      <c r="C120" s="86"/>
      <c r="D120" s="87" t="s">
        <v>258</v>
      </c>
      <c r="E120" s="16">
        <f>E121+E128</f>
        <v>2202.7000000000003</v>
      </c>
      <c r="F120" s="16">
        <f>F121+F128</f>
        <v>2483</v>
      </c>
      <c r="G120" s="16">
        <f>G121+G128</f>
        <v>2469.1</v>
      </c>
    </row>
    <row r="121" spans="1:7" ht="47.25">
      <c r="A121" s="88" t="s">
        <v>63</v>
      </c>
      <c r="B121" s="86">
        <v>1630100000</v>
      </c>
      <c r="C121" s="86"/>
      <c r="D121" s="59" t="s">
        <v>259</v>
      </c>
      <c r="E121" s="16">
        <f>E122+E125</f>
        <v>1942.3000000000002</v>
      </c>
      <c r="F121" s="16">
        <f t="shared" ref="F121:G121" si="44">F122+F125</f>
        <v>2291.6999999999998</v>
      </c>
      <c r="G121" s="16">
        <f t="shared" si="44"/>
        <v>2271.6</v>
      </c>
    </row>
    <row r="122" spans="1:7" ht="47.25">
      <c r="A122" s="86" t="s">
        <v>63</v>
      </c>
      <c r="B122" s="86">
        <v>1630120180</v>
      </c>
      <c r="C122" s="86"/>
      <c r="D122" s="59" t="s">
        <v>260</v>
      </c>
      <c r="E122" s="16">
        <f>E123</f>
        <v>1207.7</v>
      </c>
      <c r="F122" s="16">
        <f t="shared" ref="F122:G123" si="45">F123</f>
        <v>1293.4000000000001</v>
      </c>
      <c r="G122" s="16">
        <f t="shared" si="45"/>
        <v>1345.2</v>
      </c>
    </row>
    <row r="123" spans="1:7" ht="31.5">
      <c r="A123" s="88" t="s">
        <v>63</v>
      </c>
      <c r="B123" s="86">
        <v>1630120180</v>
      </c>
      <c r="C123" s="86" t="s">
        <v>72</v>
      </c>
      <c r="D123" s="59" t="s">
        <v>102</v>
      </c>
      <c r="E123" s="16">
        <f>E124</f>
        <v>1207.7</v>
      </c>
      <c r="F123" s="16">
        <f t="shared" si="45"/>
        <v>1293.4000000000001</v>
      </c>
      <c r="G123" s="16">
        <f t="shared" si="45"/>
        <v>1345.2</v>
      </c>
    </row>
    <row r="124" spans="1:7" ht="31.5">
      <c r="A124" s="88" t="s">
        <v>63</v>
      </c>
      <c r="B124" s="86">
        <v>1630120180</v>
      </c>
      <c r="C124" s="86">
        <v>240</v>
      </c>
      <c r="D124" s="59" t="s">
        <v>315</v>
      </c>
      <c r="E124" s="16">
        <f>'№ 5'!F91+'№ 5'!F516</f>
        <v>1207.7</v>
      </c>
      <c r="F124" s="16">
        <f>'№ 5'!G91+'№ 5'!G516</f>
        <v>1293.4000000000001</v>
      </c>
      <c r="G124" s="16">
        <f>'№ 5'!H91+'№ 5'!H516</f>
        <v>1345.2</v>
      </c>
    </row>
    <row r="125" spans="1:7" ht="47.25">
      <c r="A125" s="86" t="s">
        <v>63</v>
      </c>
      <c r="B125" s="86">
        <v>1630120520</v>
      </c>
      <c r="C125" s="86"/>
      <c r="D125" s="59" t="s">
        <v>266</v>
      </c>
      <c r="E125" s="16">
        <f>E126</f>
        <v>734.6</v>
      </c>
      <c r="F125" s="16">
        <f t="shared" ref="F125:G126" si="46">F126</f>
        <v>998.3</v>
      </c>
      <c r="G125" s="16">
        <f t="shared" si="46"/>
        <v>926.4</v>
      </c>
    </row>
    <row r="126" spans="1:7" ht="31.5">
      <c r="A126" s="88" t="s">
        <v>63</v>
      </c>
      <c r="B126" s="86">
        <v>1630120520</v>
      </c>
      <c r="C126" s="86" t="s">
        <v>72</v>
      </c>
      <c r="D126" s="59" t="s">
        <v>102</v>
      </c>
      <c r="E126" s="16">
        <f>E127</f>
        <v>734.6</v>
      </c>
      <c r="F126" s="16">
        <f t="shared" si="46"/>
        <v>998.3</v>
      </c>
      <c r="G126" s="16">
        <f t="shared" si="46"/>
        <v>926.4</v>
      </c>
    </row>
    <row r="127" spans="1:7" ht="31.5">
      <c r="A127" s="88" t="s">
        <v>63</v>
      </c>
      <c r="B127" s="86">
        <v>1630120520</v>
      </c>
      <c r="C127" s="86">
        <v>240</v>
      </c>
      <c r="D127" s="59" t="s">
        <v>315</v>
      </c>
      <c r="E127" s="16">
        <f>'№ 5'!F94</f>
        <v>734.6</v>
      </c>
      <c r="F127" s="16">
        <f>'№ 5'!G94</f>
        <v>998.3</v>
      </c>
      <c r="G127" s="16">
        <f>'№ 5'!H94</f>
        <v>926.4</v>
      </c>
    </row>
    <row r="128" spans="1:7" ht="47.25">
      <c r="A128" s="86" t="s">
        <v>63</v>
      </c>
      <c r="B128" s="86">
        <v>1630200000</v>
      </c>
      <c r="C128" s="86"/>
      <c r="D128" s="59" t="s">
        <v>261</v>
      </c>
      <c r="E128" s="16">
        <f>E129</f>
        <v>260.39999999999998</v>
      </c>
      <c r="F128" s="16">
        <f t="shared" ref="F128:G130" si="47">F129</f>
        <v>191.3</v>
      </c>
      <c r="G128" s="16">
        <f t="shared" si="47"/>
        <v>197.5</v>
      </c>
    </row>
    <row r="129" spans="1:7" ht="31.5">
      <c r="A129" s="88" t="s">
        <v>63</v>
      </c>
      <c r="B129" s="86">
        <v>1630220530</v>
      </c>
      <c r="C129" s="86"/>
      <c r="D129" s="59" t="s">
        <v>262</v>
      </c>
      <c r="E129" s="16">
        <f>E130</f>
        <v>260.39999999999998</v>
      </c>
      <c r="F129" s="16">
        <f t="shared" si="47"/>
        <v>191.3</v>
      </c>
      <c r="G129" s="16">
        <f t="shared" si="47"/>
        <v>197.5</v>
      </c>
    </row>
    <row r="130" spans="1:7" ht="31.5">
      <c r="A130" s="88" t="s">
        <v>63</v>
      </c>
      <c r="B130" s="86">
        <v>1630220530</v>
      </c>
      <c r="C130" s="86" t="s">
        <v>72</v>
      </c>
      <c r="D130" s="59" t="s">
        <v>102</v>
      </c>
      <c r="E130" s="16">
        <f>E131</f>
        <v>260.39999999999998</v>
      </c>
      <c r="F130" s="16">
        <f t="shared" si="47"/>
        <v>191.3</v>
      </c>
      <c r="G130" s="16">
        <f t="shared" si="47"/>
        <v>197.5</v>
      </c>
    </row>
    <row r="131" spans="1:7" ht="31.5">
      <c r="A131" s="86" t="s">
        <v>63</v>
      </c>
      <c r="B131" s="86">
        <v>1630220530</v>
      </c>
      <c r="C131" s="86">
        <v>240</v>
      </c>
      <c r="D131" s="59" t="s">
        <v>315</v>
      </c>
      <c r="E131" s="16">
        <f>'№ 5'!F98+'№ 5'!F520+'№ 5'!F607</f>
        <v>260.39999999999998</v>
      </c>
      <c r="F131" s="16">
        <f>'№ 5'!G98+'№ 5'!G520+'№ 5'!G607</f>
        <v>191.3</v>
      </c>
      <c r="G131" s="16">
        <f>'№ 5'!H98+'№ 5'!H520+'№ 5'!H607</f>
        <v>197.5</v>
      </c>
    </row>
    <row r="132" spans="1:7" ht="47.25">
      <c r="A132" s="86" t="s">
        <v>63</v>
      </c>
      <c r="B132" s="88">
        <v>1640000000</v>
      </c>
      <c r="C132" s="1"/>
      <c r="D132" s="60" t="s">
        <v>251</v>
      </c>
      <c r="E132" s="16">
        <f>E133</f>
        <v>26.5</v>
      </c>
      <c r="F132" s="16">
        <f t="shared" ref="F132:G135" si="48">F133</f>
        <v>26.5</v>
      </c>
      <c r="G132" s="16">
        <f t="shared" si="48"/>
        <v>0</v>
      </c>
    </row>
    <row r="133" spans="1:7" ht="31.5">
      <c r="A133" s="86" t="s">
        <v>63</v>
      </c>
      <c r="B133" s="86">
        <v>1640200000</v>
      </c>
      <c r="C133" s="1"/>
      <c r="D133" s="60" t="s">
        <v>254</v>
      </c>
      <c r="E133" s="16">
        <f>E134</f>
        <v>26.5</v>
      </c>
      <c r="F133" s="16">
        <f t="shared" si="48"/>
        <v>26.5</v>
      </c>
      <c r="G133" s="16">
        <f t="shared" si="48"/>
        <v>0</v>
      </c>
    </row>
    <row r="134" spans="1:7">
      <c r="A134" s="86" t="s">
        <v>63</v>
      </c>
      <c r="B134" s="86">
        <v>1640220250</v>
      </c>
      <c r="C134" s="1"/>
      <c r="D134" s="60" t="s">
        <v>252</v>
      </c>
      <c r="E134" s="16">
        <f>E135</f>
        <v>26.5</v>
      </c>
      <c r="F134" s="16">
        <f t="shared" si="48"/>
        <v>26.5</v>
      </c>
      <c r="G134" s="16">
        <f t="shared" si="48"/>
        <v>0</v>
      </c>
    </row>
    <row r="135" spans="1:7" ht="31.5">
      <c r="A135" s="86" t="s">
        <v>63</v>
      </c>
      <c r="B135" s="86">
        <v>1640220250</v>
      </c>
      <c r="C135" s="88" t="s">
        <v>72</v>
      </c>
      <c r="D135" s="87" t="s">
        <v>102</v>
      </c>
      <c r="E135" s="16">
        <f>E136</f>
        <v>26.5</v>
      </c>
      <c r="F135" s="16">
        <f t="shared" si="48"/>
        <v>26.5</v>
      </c>
      <c r="G135" s="16">
        <f t="shared" si="48"/>
        <v>0</v>
      </c>
    </row>
    <row r="136" spans="1:7" ht="31.5">
      <c r="A136" s="86" t="s">
        <v>63</v>
      </c>
      <c r="B136" s="86">
        <v>1640220250</v>
      </c>
      <c r="C136" s="86">
        <v>240</v>
      </c>
      <c r="D136" s="59" t="s">
        <v>315</v>
      </c>
      <c r="E136" s="16">
        <f>'№ 5'!F103</f>
        <v>26.5</v>
      </c>
      <c r="F136" s="16">
        <f>'№ 5'!G103</f>
        <v>26.5</v>
      </c>
      <c r="G136" s="16">
        <f>'№ 5'!H103</f>
        <v>0</v>
      </c>
    </row>
    <row r="137" spans="1:7">
      <c r="A137" s="86" t="s">
        <v>63</v>
      </c>
      <c r="B137" s="86">
        <v>9900000000</v>
      </c>
      <c r="C137" s="86"/>
      <c r="D137" s="59" t="s">
        <v>116</v>
      </c>
      <c r="E137" s="16">
        <f>E146+E142+E138</f>
        <v>31945.7</v>
      </c>
      <c r="F137" s="16">
        <f t="shared" ref="F137:G137" si="49">F146+F142+F138</f>
        <v>33333.5</v>
      </c>
      <c r="G137" s="16">
        <f t="shared" si="49"/>
        <v>33333.5</v>
      </c>
    </row>
    <row r="138" spans="1:7">
      <c r="A138" s="130" t="s">
        <v>63</v>
      </c>
      <c r="B138" s="128">
        <v>9910000000</v>
      </c>
      <c r="C138" s="128"/>
      <c r="D138" s="129" t="s">
        <v>9</v>
      </c>
      <c r="E138" s="16">
        <f>E139</f>
        <v>407.4</v>
      </c>
      <c r="F138" s="16">
        <f t="shared" ref="F138:G140" si="50">F139</f>
        <v>0</v>
      </c>
      <c r="G138" s="16">
        <f t="shared" si="50"/>
        <v>0</v>
      </c>
    </row>
    <row r="139" spans="1:7" ht="31.5">
      <c r="A139" s="130" t="s">
        <v>63</v>
      </c>
      <c r="B139" s="128">
        <v>9910020000</v>
      </c>
      <c r="C139" s="128"/>
      <c r="D139" s="129" t="s">
        <v>194</v>
      </c>
      <c r="E139" s="16">
        <f>E140</f>
        <v>407.4</v>
      </c>
      <c r="F139" s="16">
        <f t="shared" si="50"/>
        <v>0</v>
      </c>
      <c r="G139" s="16">
        <f t="shared" si="50"/>
        <v>0</v>
      </c>
    </row>
    <row r="140" spans="1:7" ht="31.5">
      <c r="A140" s="130" t="s">
        <v>63</v>
      </c>
      <c r="B140" s="128">
        <v>9910020000</v>
      </c>
      <c r="C140" s="130" t="s">
        <v>72</v>
      </c>
      <c r="D140" s="129" t="s">
        <v>102</v>
      </c>
      <c r="E140" s="16">
        <f>E141</f>
        <v>407.4</v>
      </c>
      <c r="F140" s="16">
        <f t="shared" si="50"/>
        <v>0</v>
      </c>
      <c r="G140" s="16">
        <f t="shared" si="50"/>
        <v>0</v>
      </c>
    </row>
    <row r="141" spans="1:7" ht="31.5">
      <c r="A141" s="130" t="s">
        <v>63</v>
      </c>
      <c r="B141" s="128">
        <v>9910020000</v>
      </c>
      <c r="C141" s="128">
        <v>240</v>
      </c>
      <c r="D141" s="129" t="s">
        <v>315</v>
      </c>
      <c r="E141" s="16">
        <f>'№ 5'!F546</f>
        <v>407.4</v>
      </c>
      <c r="F141" s="16">
        <f>'№ 5'!G546</f>
        <v>0</v>
      </c>
      <c r="G141" s="16">
        <f>'№ 5'!H546</f>
        <v>0</v>
      </c>
    </row>
    <row r="142" spans="1:7" ht="31.5">
      <c r="A142" s="86" t="s">
        <v>63</v>
      </c>
      <c r="B142" s="86">
        <v>9930000000</v>
      </c>
      <c r="C142" s="86"/>
      <c r="D142" s="66" t="s">
        <v>189</v>
      </c>
      <c r="E142" s="16">
        <f>E143</f>
        <v>250.7</v>
      </c>
      <c r="F142" s="16">
        <f t="shared" ref="F142:G144" si="51">F143</f>
        <v>0</v>
      </c>
      <c r="G142" s="16">
        <f t="shared" si="51"/>
        <v>0</v>
      </c>
    </row>
    <row r="143" spans="1:7" ht="31.5">
      <c r="A143" s="86" t="s">
        <v>63</v>
      </c>
      <c r="B143" s="86">
        <v>9930020490</v>
      </c>
      <c r="C143" s="86"/>
      <c r="D143" s="66" t="s">
        <v>365</v>
      </c>
      <c r="E143" s="16">
        <f>E144</f>
        <v>250.7</v>
      </c>
      <c r="F143" s="16">
        <f t="shared" si="51"/>
        <v>0</v>
      </c>
      <c r="G143" s="16">
        <f t="shared" si="51"/>
        <v>0</v>
      </c>
    </row>
    <row r="144" spans="1:7">
      <c r="A144" s="86" t="s">
        <v>63</v>
      </c>
      <c r="B144" s="86">
        <v>9930020490</v>
      </c>
      <c r="C144" s="11" t="s">
        <v>73</v>
      </c>
      <c r="D144" s="42" t="s">
        <v>74</v>
      </c>
      <c r="E144" s="16">
        <f>E145</f>
        <v>250.7</v>
      </c>
      <c r="F144" s="16">
        <f t="shared" si="51"/>
        <v>0</v>
      </c>
      <c r="G144" s="16">
        <f t="shared" si="51"/>
        <v>0</v>
      </c>
    </row>
    <row r="145" spans="1:7">
      <c r="A145" s="86" t="s">
        <v>63</v>
      </c>
      <c r="B145" s="86">
        <v>9930020490</v>
      </c>
      <c r="C145" s="1" t="s">
        <v>366</v>
      </c>
      <c r="D145" s="69" t="s">
        <v>367</v>
      </c>
      <c r="E145" s="16">
        <f>'№ 5'!F108+'№ 5'!F548</f>
        <v>250.7</v>
      </c>
      <c r="F145" s="16">
        <f>'№ 5'!G108+'№ 5'!G548</f>
        <v>0</v>
      </c>
      <c r="G145" s="16">
        <f>'№ 5'!H108+'№ 5'!H548</f>
        <v>0</v>
      </c>
    </row>
    <row r="146" spans="1:7" ht="31.5">
      <c r="A146" s="86" t="s">
        <v>63</v>
      </c>
      <c r="B146" s="86">
        <v>9990000000</v>
      </c>
      <c r="C146" s="86"/>
      <c r="D146" s="59" t="s">
        <v>176</v>
      </c>
      <c r="E146" s="16">
        <f>E147+E159</f>
        <v>31287.599999999999</v>
      </c>
      <c r="F146" s="16">
        <f>F147+F159</f>
        <v>33333.5</v>
      </c>
      <c r="G146" s="16">
        <f>G147+G159</f>
        <v>33333.5</v>
      </c>
    </row>
    <row r="147" spans="1:7" ht="31.5">
      <c r="A147" s="86" t="s">
        <v>63</v>
      </c>
      <c r="B147" s="86">
        <v>9990200000</v>
      </c>
      <c r="C147" s="24"/>
      <c r="D147" s="59" t="s">
        <v>129</v>
      </c>
      <c r="E147" s="16">
        <f>E156+E148+E153</f>
        <v>5542.6999999999989</v>
      </c>
      <c r="F147" s="16">
        <f>F156+F148+F153</f>
        <v>4725.0999999999995</v>
      </c>
      <c r="G147" s="16">
        <f>G156+G148+G153</f>
        <v>4725.0999999999995</v>
      </c>
    </row>
    <row r="148" spans="1:7" ht="78.75">
      <c r="A148" s="86" t="s">
        <v>63</v>
      </c>
      <c r="B148" s="86">
        <v>9990210540</v>
      </c>
      <c r="C148" s="86"/>
      <c r="D148" s="59" t="s">
        <v>186</v>
      </c>
      <c r="E148" s="16">
        <f>E149+E151</f>
        <v>264</v>
      </c>
      <c r="F148" s="16">
        <f>F149+F151</f>
        <v>264</v>
      </c>
      <c r="G148" s="16">
        <f>G149+G151</f>
        <v>264</v>
      </c>
    </row>
    <row r="149" spans="1:7" ht="63">
      <c r="A149" s="86" t="s">
        <v>63</v>
      </c>
      <c r="B149" s="86">
        <v>9990210540</v>
      </c>
      <c r="C149" s="86" t="s">
        <v>71</v>
      </c>
      <c r="D149" s="59" t="s">
        <v>1</v>
      </c>
      <c r="E149" s="16">
        <f>E150</f>
        <v>256.3</v>
      </c>
      <c r="F149" s="16">
        <f>F150</f>
        <v>256.3</v>
      </c>
      <c r="G149" s="16">
        <f>G150</f>
        <v>256.3</v>
      </c>
    </row>
    <row r="150" spans="1:7" ht="31.5">
      <c r="A150" s="86" t="s">
        <v>63</v>
      </c>
      <c r="B150" s="86">
        <v>9990210540</v>
      </c>
      <c r="C150" s="86">
        <v>120</v>
      </c>
      <c r="D150" s="59" t="s">
        <v>319</v>
      </c>
      <c r="E150" s="16">
        <f>'№ 5'!F113</f>
        <v>256.3</v>
      </c>
      <c r="F150" s="16">
        <f>'№ 5'!G113</f>
        <v>256.3</v>
      </c>
      <c r="G150" s="16">
        <f>'№ 5'!H113</f>
        <v>256.3</v>
      </c>
    </row>
    <row r="151" spans="1:7" ht="31.5">
      <c r="A151" s="86" t="s">
        <v>63</v>
      </c>
      <c r="B151" s="86">
        <v>9990210540</v>
      </c>
      <c r="C151" s="86" t="s">
        <v>72</v>
      </c>
      <c r="D151" s="59" t="s">
        <v>102</v>
      </c>
      <c r="E151" s="16">
        <f>E152</f>
        <v>7.7</v>
      </c>
      <c r="F151" s="16">
        <f t="shared" ref="F151:G151" si="52">F152</f>
        <v>7.7</v>
      </c>
      <c r="G151" s="16">
        <f t="shared" si="52"/>
        <v>7.7</v>
      </c>
    </row>
    <row r="152" spans="1:7" ht="31.5">
      <c r="A152" s="86" t="s">
        <v>63</v>
      </c>
      <c r="B152" s="86">
        <v>9990210540</v>
      </c>
      <c r="C152" s="86">
        <v>240</v>
      </c>
      <c r="D152" s="59" t="s">
        <v>315</v>
      </c>
      <c r="E152" s="16">
        <f>'№ 5'!F115</f>
        <v>7.7</v>
      </c>
      <c r="F152" s="16">
        <f>'№ 5'!G115</f>
        <v>7.7</v>
      </c>
      <c r="G152" s="16">
        <f>'№ 5'!H115</f>
        <v>7.7</v>
      </c>
    </row>
    <row r="153" spans="1:7" ht="47.25">
      <c r="A153" s="88" t="s">
        <v>63</v>
      </c>
      <c r="B153" s="86">
        <v>9990225000</v>
      </c>
      <c r="C153" s="86"/>
      <c r="D153" s="59" t="s">
        <v>130</v>
      </c>
      <c r="E153" s="16">
        <f>E154</f>
        <v>4764.4999999999991</v>
      </c>
      <c r="F153" s="16">
        <f t="shared" ref="F153:G153" si="53">F154</f>
        <v>4011.2</v>
      </c>
      <c r="G153" s="16">
        <f t="shared" si="53"/>
        <v>4011.2</v>
      </c>
    </row>
    <row r="154" spans="1:7" ht="63">
      <c r="A154" s="88" t="s">
        <v>63</v>
      </c>
      <c r="B154" s="86">
        <v>9990225000</v>
      </c>
      <c r="C154" s="88" t="s">
        <v>71</v>
      </c>
      <c r="D154" s="87" t="s">
        <v>1</v>
      </c>
      <c r="E154" s="16">
        <f>E155</f>
        <v>4764.4999999999991</v>
      </c>
      <c r="F154" s="16">
        <f t="shared" ref="F154:G154" si="54">F155</f>
        <v>4011.2</v>
      </c>
      <c r="G154" s="16">
        <f t="shared" si="54"/>
        <v>4011.2</v>
      </c>
    </row>
    <row r="155" spans="1:7" ht="31.5">
      <c r="A155" s="88" t="s">
        <v>63</v>
      </c>
      <c r="B155" s="86">
        <v>9990225000</v>
      </c>
      <c r="C155" s="86">
        <v>120</v>
      </c>
      <c r="D155" s="59" t="s">
        <v>319</v>
      </c>
      <c r="E155" s="16">
        <f>'№ 5'!F555</f>
        <v>4764.4999999999991</v>
      </c>
      <c r="F155" s="16">
        <f>'№ 5'!G555</f>
        <v>4011.2</v>
      </c>
      <c r="G155" s="16">
        <f>'№ 5'!H555</f>
        <v>4011.2</v>
      </c>
    </row>
    <row r="156" spans="1:7" ht="47.25">
      <c r="A156" s="86" t="s">
        <v>63</v>
      </c>
      <c r="B156" s="86">
        <v>9990226000</v>
      </c>
      <c r="C156" s="86"/>
      <c r="D156" s="59" t="s">
        <v>178</v>
      </c>
      <c r="E156" s="16">
        <f>E157</f>
        <v>514.19999999999993</v>
      </c>
      <c r="F156" s="16">
        <f t="shared" ref="F156:G157" si="55">F157</f>
        <v>449.9</v>
      </c>
      <c r="G156" s="16">
        <f t="shared" si="55"/>
        <v>449.9</v>
      </c>
    </row>
    <row r="157" spans="1:7" ht="63">
      <c r="A157" s="86" t="s">
        <v>63</v>
      </c>
      <c r="B157" s="86">
        <v>9990226000</v>
      </c>
      <c r="C157" s="86" t="s">
        <v>71</v>
      </c>
      <c r="D157" s="59" t="s">
        <v>1</v>
      </c>
      <c r="E157" s="16">
        <f>E158</f>
        <v>514.19999999999993</v>
      </c>
      <c r="F157" s="16">
        <f t="shared" si="55"/>
        <v>449.9</v>
      </c>
      <c r="G157" s="16">
        <f t="shared" si="55"/>
        <v>449.9</v>
      </c>
    </row>
    <row r="158" spans="1:7" ht="31.5">
      <c r="A158" s="86" t="s">
        <v>63</v>
      </c>
      <c r="B158" s="86">
        <v>9990226000</v>
      </c>
      <c r="C158" s="86">
        <v>120</v>
      </c>
      <c r="D158" s="59" t="s">
        <v>319</v>
      </c>
      <c r="E158" s="16">
        <f>'№ 5'!F118</f>
        <v>514.19999999999993</v>
      </c>
      <c r="F158" s="16">
        <f>'№ 5'!G118</f>
        <v>449.9</v>
      </c>
      <c r="G158" s="16">
        <f>'№ 5'!H118</f>
        <v>449.9</v>
      </c>
    </row>
    <row r="159" spans="1:7" ht="31.5">
      <c r="A159" s="86" t="s">
        <v>63</v>
      </c>
      <c r="B159" s="86">
        <v>9990300000</v>
      </c>
      <c r="C159" s="86"/>
      <c r="D159" s="59" t="s">
        <v>191</v>
      </c>
      <c r="E159" s="16">
        <f>E160+E162+E164</f>
        <v>25744.9</v>
      </c>
      <c r="F159" s="16">
        <f t="shared" ref="F159:G159" si="56">F160+F162+F164</f>
        <v>28608.399999999998</v>
      </c>
      <c r="G159" s="16">
        <f t="shared" si="56"/>
        <v>28608.399999999998</v>
      </c>
    </row>
    <row r="160" spans="1:7" ht="63">
      <c r="A160" s="86" t="s">
        <v>63</v>
      </c>
      <c r="B160" s="86">
        <v>9990300000</v>
      </c>
      <c r="C160" s="86" t="s">
        <v>71</v>
      </c>
      <c r="D160" s="59" t="s">
        <v>1</v>
      </c>
      <c r="E160" s="16">
        <f>E161</f>
        <v>19019.599999999999</v>
      </c>
      <c r="F160" s="16">
        <f t="shared" ref="F160:G160" si="57">F161</f>
        <v>20347.599999999999</v>
      </c>
      <c r="G160" s="16">
        <f t="shared" si="57"/>
        <v>20347.599999999999</v>
      </c>
    </row>
    <row r="161" spans="1:7">
      <c r="A161" s="86" t="s">
        <v>63</v>
      </c>
      <c r="B161" s="86">
        <v>9990300000</v>
      </c>
      <c r="C161" s="86">
        <v>110</v>
      </c>
      <c r="D161" s="60" t="s">
        <v>192</v>
      </c>
      <c r="E161" s="16">
        <f>'№ 5'!F121</f>
        <v>19019.599999999999</v>
      </c>
      <c r="F161" s="16">
        <f>'№ 5'!G121</f>
        <v>20347.599999999999</v>
      </c>
      <c r="G161" s="16">
        <f>'№ 5'!H121</f>
        <v>20347.599999999999</v>
      </c>
    </row>
    <row r="162" spans="1:7" ht="31.5">
      <c r="A162" s="86" t="s">
        <v>63</v>
      </c>
      <c r="B162" s="86">
        <v>9990300000</v>
      </c>
      <c r="C162" s="86" t="s">
        <v>72</v>
      </c>
      <c r="D162" s="59" t="s">
        <v>102</v>
      </c>
      <c r="E162" s="16">
        <f>E163</f>
        <v>6560.4</v>
      </c>
      <c r="F162" s="16">
        <f t="shared" ref="F162:G162" si="58">F163</f>
        <v>7883.8</v>
      </c>
      <c r="G162" s="16">
        <f t="shared" si="58"/>
        <v>7883.8</v>
      </c>
    </row>
    <row r="163" spans="1:7" ht="31.5">
      <c r="A163" s="86" t="s">
        <v>63</v>
      </c>
      <c r="B163" s="86">
        <v>9990300000</v>
      </c>
      <c r="C163" s="86">
        <v>240</v>
      </c>
      <c r="D163" s="59" t="s">
        <v>315</v>
      </c>
      <c r="E163" s="16">
        <f>'№ 5'!F123</f>
        <v>6560.4</v>
      </c>
      <c r="F163" s="16">
        <f>'№ 5'!G123</f>
        <v>7883.8</v>
      </c>
      <c r="G163" s="16">
        <f>'№ 5'!H123</f>
        <v>7883.8</v>
      </c>
    </row>
    <row r="164" spans="1:7">
      <c r="A164" s="86" t="s">
        <v>63</v>
      </c>
      <c r="B164" s="86">
        <v>9990300000</v>
      </c>
      <c r="C164" s="86" t="s">
        <v>73</v>
      </c>
      <c r="D164" s="59" t="s">
        <v>74</v>
      </c>
      <c r="E164" s="16">
        <f>E165</f>
        <v>164.9</v>
      </c>
      <c r="F164" s="16">
        <f t="shared" ref="F164:G164" si="59">F165</f>
        <v>377</v>
      </c>
      <c r="G164" s="16">
        <f t="shared" si="59"/>
        <v>377</v>
      </c>
    </row>
    <row r="165" spans="1:7">
      <c r="A165" s="86" t="s">
        <v>63</v>
      </c>
      <c r="B165" s="86">
        <v>9990300000</v>
      </c>
      <c r="C165" s="86">
        <v>850</v>
      </c>
      <c r="D165" s="59" t="s">
        <v>111</v>
      </c>
      <c r="E165" s="16">
        <f>'№ 5'!F125</f>
        <v>164.9</v>
      </c>
      <c r="F165" s="16">
        <f>'№ 5'!G125</f>
        <v>377</v>
      </c>
      <c r="G165" s="16">
        <f>'№ 5'!H125</f>
        <v>377</v>
      </c>
    </row>
    <row r="166" spans="1:7" ht="15" customHeight="1">
      <c r="A166" s="4" t="s">
        <v>58</v>
      </c>
      <c r="B166" s="4" t="s">
        <v>69</v>
      </c>
      <c r="C166" s="4" t="s">
        <v>69</v>
      </c>
      <c r="D166" s="19" t="s">
        <v>26</v>
      </c>
      <c r="E166" s="6">
        <f>E167+E179</f>
        <v>9544.4</v>
      </c>
      <c r="F166" s="6">
        <f t="shared" ref="F166:G166" si="60">F167+F179</f>
        <v>8932.4</v>
      </c>
      <c r="G166" s="6">
        <f t="shared" si="60"/>
        <v>8984.6</v>
      </c>
    </row>
    <row r="167" spans="1:7">
      <c r="A167" s="86" t="s">
        <v>78</v>
      </c>
      <c r="B167" s="86" t="s">
        <v>69</v>
      </c>
      <c r="C167" s="86" t="s">
        <v>69</v>
      </c>
      <c r="D167" s="59" t="s">
        <v>79</v>
      </c>
      <c r="E167" s="16">
        <f>E168</f>
        <v>2145.5</v>
      </c>
      <c r="F167" s="16">
        <f t="shared" ref="F167:G169" si="61">F168</f>
        <v>1512.9</v>
      </c>
      <c r="G167" s="16">
        <f t="shared" si="61"/>
        <v>1565.1000000000001</v>
      </c>
    </row>
    <row r="168" spans="1:7">
      <c r="A168" s="86" t="s">
        <v>78</v>
      </c>
      <c r="B168" s="86">
        <v>9900000000</v>
      </c>
      <c r="C168" s="86"/>
      <c r="D168" s="59" t="s">
        <v>116</v>
      </c>
      <c r="E168" s="16">
        <f>E169</f>
        <v>2145.5</v>
      </c>
      <c r="F168" s="16">
        <f t="shared" si="61"/>
        <v>1512.9</v>
      </c>
      <c r="G168" s="16">
        <f t="shared" si="61"/>
        <v>1565.1000000000001</v>
      </c>
    </row>
    <row r="169" spans="1:7" ht="31.5">
      <c r="A169" s="86" t="s">
        <v>78</v>
      </c>
      <c r="B169" s="86">
        <v>9990000000</v>
      </c>
      <c r="C169" s="86"/>
      <c r="D169" s="59" t="s">
        <v>176</v>
      </c>
      <c r="E169" s="16">
        <f>E170</f>
        <v>2145.5</v>
      </c>
      <c r="F169" s="16">
        <f t="shared" si="61"/>
        <v>1512.9</v>
      </c>
      <c r="G169" s="16">
        <f t="shared" si="61"/>
        <v>1565.1000000000001</v>
      </c>
    </row>
    <row r="170" spans="1:7" ht="31.5">
      <c r="A170" s="86" t="s">
        <v>78</v>
      </c>
      <c r="B170" s="86">
        <v>9990200000</v>
      </c>
      <c r="C170" s="24"/>
      <c r="D170" s="59" t="s">
        <v>129</v>
      </c>
      <c r="E170" s="16">
        <f>E171+E174</f>
        <v>2145.5</v>
      </c>
      <c r="F170" s="16">
        <f t="shared" ref="F170:G170" si="62">F171+F174</f>
        <v>1512.9</v>
      </c>
      <c r="G170" s="16">
        <f t="shared" si="62"/>
        <v>1565.1000000000001</v>
      </c>
    </row>
    <row r="171" spans="1:7" ht="47.25">
      <c r="A171" s="86" t="s">
        <v>78</v>
      </c>
      <c r="B171" s="86">
        <v>9990226000</v>
      </c>
      <c r="C171" s="86"/>
      <c r="D171" s="59" t="s">
        <v>178</v>
      </c>
      <c r="E171" s="16">
        <f>E172</f>
        <v>253.1</v>
      </c>
      <c r="F171" s="16">
        <f t="shared" ref="F171:G172" si="63">F172</f>
        <v>131.69999999999999</v>
      </c>
      <c r="G171" s="16">
        <f t="shared" si="63"/>
        <v>131.69999999999999</v>
      </c>
    </row>
    <row r="172" spans="1:7" ht="63">
      <c r="A172" s="86" t="s">
        <v>78</v>
      </c>
      <c r="B172" s="86">
        <v>9990226000</v>
      </c>
      <c r="C172" s="86" t="s">
        <v>71</v>
      </c>
      <c r="D172" s="59" t="s">
        <v>1</v>
      </c>
      <c r="E172" s="16">
        <f>E173</f>
        <v>253.1</v>
      </c>
      <c r="F172" s="16">
        <f t="shared" si="63"/>
        <v>131.69999999999999</v>
      </c>
      <c r="G172" s="16">
        <f t="shared" si="63"/>
        <v>131.69999999999999</v>
      </c>
    </row>
    <row r="173" spans="1:7" ht="31.5">
      <c r="A173" s="86" t="s">
        <v>78</v>
      </c>
      <c r="B173" s="86">
        <v>9990226000</v>
      </c>
      <c r="C173" s="86">
        <v>120</v>
      </c>
      <c r="D173" s="59" t="s">
        <v>319</v>
      </c>
      <c r="E173" s="16">
        <f>'№ 5'!F133</f>
        <v>253.1</v>
      </c>
      <c r="F173" s="16">
        <f>'№ 5'!G133</f>
        <v>131.69999999999999</v>
      </c>
      <c r="G173" s="16">
        <f>'№ 5'!H133</f>
        <v>131.69999999999999</v>
      </c>
    </row>
    <row r="174" spans="1:7" ht="31.5">
      <c r="A174" s="86" t="s">
        <v>78</v>
      </c>
      <c r="B174" s="86">
        <v>9990259300</v>
      </c>
      <c r="C174" s="86"/>
      <c r="D174" s="59" t="s">
        <v>193</v>
      </c>
      <c r="E174" s="16">
        <f>E175+E177</f>
        <v>1892.4</v>
      </c>
      <c r="F174" s="16">
        <f t="shared" ref="F174:G174" si="64">F175+F177</f>
        <v>1381.2</v>
      </c>
      <c r="G174" s="16">
        <f t="shared" si="64"/>
        <v>1433.4</v>
      </c>
    </row>
    <row r="175" spans="1:7" ht="63">
      <c r="A175" s="86" t="s">
        <v>78</v>
      </c>
      <c r="B175" s="86">
        <v>9990259300</v>
      </c>
      <c r="C175" s="86" t="s">
        <v>71</v>
      </c>
      <c r="D175" s="59" t="s">
        <v>1</v>
      </c>
      <c r="E175" s="16">
        <f>E176</f>
        <v>1316.7</v>
      </c>
      <c r="F175" s="16">
        <f t="shared" ref="F175:G175" si="65">F176</f>
        <v>1212.2</v>
      </c>
      <c r="G175" s="16">
        <f t="shared" si="65"/>
        <v>1212.2</v>
      </c>
    </row>
    <row r="176" spans="1:7" ht="31.5">
      <c r="A176" s="86" t="s">
        <v>78</v>
      </c>
      <c r="B176" s="86">
        <v>9990259300</v>
      </c>
      <c r="C176" s="86">
        <v>120</v>
      </c>
      <c r="D176" s="59" t="s">
        <v>319</v>
      </c>
      <c r="E176" s="16">
        <f>'№ 5'!F136</f>
        <v>1316.7</v>
      </c>
      <c r="F176" s="16">
        <f>'№ 5'!G136</f>
        <v>1212.2</v>
      </c>
      <c r="G176" s="16">
        <f>'№ 5'!H136</f>
        <v>1212.2</v>
      </c>
    </row>
    <row r="177" spans="1:7" ht="31.5">
      <c r="A177" s="86" t="s">
        <v>78</v>
      </c>
      <c r="B177" s="86">
        <v>9990259300</v>
      </c>
      <c r="C177" s="86" t="s">
        <v>72</v>
      </c>
      <c r="D177" s="59" t="s">
        <v>102</v>
      </c>
      <c r="E177" s="16">
        <f>E178</f>
        <v>575.70000000000005</v>
      </c>
      <c r="F177" s="16">
        <f t="shared" ref="F177:G177" si="66">F178</f>
        <v>169</v>
      </c>
      <c r="G177" s="16">
        <f t="shared" si="66"/>
        <v>221.2</v>
      </c>
    </row>
    <row r="178" spans="1:7" ht="31.5">
      <c r="A178" s="86" t="s">
        <v>78</v>
      </c>
      <c r="B178" s="86">
        <v>9990259300</v>
      </c>
      <c r="C178" s="86">
        <v>240</v>
      </c>
      <c r="D178" s="59" t="s">
        <v>315</v>
      </c>
      <c r="E178" s="16">
        <f>'№ 5'!F138</f>
        <v>575.70000000000005</v>
      </c>
      <c r="F178" s="16">
        <f>'№ 5'!G138</f>
        <v>169</v>
      </c>
      <c r="G178" s="16">
        <f>'№ 5'!H138</f>
        <v>221.2</v>
      </c>
    </row>
    <row r="179" spans="1:7" ht="31.5">
      <c r="A179" s="86" t="s">
        <v>50</v>
      </c>
      <c r="B179" s="86"/>
      <c r="C179" s="86"/>
      <c r="D179" s="59" t="s">
        <v>16</v>
      </c>
      <c r="E179" s="16">
        <f t="shared" ref="E179:G184" si="67">E180</f>
        <v>7398.9</v>
      </c>
      <c r="F179" s="16">
        <f t="shared" si="67"/>
        <v>7419.5</v>
      </c>
      <c r="G179" s="16">
        <f t="shared" si="67"/>
        <v>7419.5</v>
      </c>
    </row>
    <row r="180" spans="1:7" ht="31.5">
      <c r="A180" s="86" t="s">
        <v>50</v>
      </c>
      <c r="B180" s="88">
        <v>1500000000</v>
      </c>
      <c r="C180" s="86"/>
      <c r="D180" s="59" t="s">
        <v>217</v>
      </c>
      <c r="E180" s="16">
        <f t="shared" si="67"/>
        <v>7398.9</v>
      </c>
      <c r="F180" s="16">
        <f t="shared" si="67"/>
        <v>7419.5</v>
      </c>
      <c r="G180" s="16">
        <f t="shared" si="67"/>
        <v>7419.5</v>
      </c>
    </row>
    <row r="181" spans="1:7">
      <c r="A181" s="86" t="s">
        <v>50</v>
      </c>
      <c r="B181" s="86">
        <v>1510000000</v>
      </c>
      <c r="C181" s="86"/>
      <c r="D181" s="59" t="s">
        <v>183</v>
      </c>
      <c r="E181" s="16">
        <f t="shared" si="67"/>
        <v>7398.9</v>
      </c>
      <c r="F181" s="16">
        <f t="shared" si="67"/>
        <v>7419.5</v>
      </c>
      <c r="G181" s="16">
        <f t="shared" si="67"/>
        <v>7419.5</v>
      </c>
    </row>
    <row r="182" spans="1:7" ht="47.25">
      <c r="A182" s="86" t="s">
        <v>50</v>
      </c>
      <c r="B182" s="86">
        <v>1510100000</v>
      </c>
      <c r="C182" s="86"/>
      <c r="D182" s="59" t="s">
        <v>220</v>
      </c>
      <c r="E182" s="16">
        <f>E183</f>
        <v>7398.9</v>
      </c>
      <c r="F182" s="16">
        <f t="shared" si="67"/>
        <v>7419.5</v>
      </c>
      <c r="G182" s="16">
        <f t="shared" si="67"/>
        <v>7419.5</v>
      </c>
    </row>
    <row r="183" spans="1:7" ht="31.5">
      <c r="A183" s="86" t="s">
        <v>50</v>
      </c>
      <c r="B183" s="86">
        <v>1510120010</v>
      </c>
      <c r="C183" s="86"/>
      <c r="D183" s="59" t="s">
        <v>135</v>
      </c>
      <c r="E183" s="16">
        <f t="shared" si="67"/>
        <v>7398.9</v>
      </c>
      <c r="F183" s="16">
        <f t="shared" si="67"/>
        <v>7419.5</v>
      </c>
      <c r="G183" s="16">
        <f t="shared" si="67"/>
        <v>7419.5</v>
      </c>
    </row>
    <row r="184" spans="1:7" ht="31.5">
      <c r="A184" s="86" t="s">
        <v>50</v>
      </c>
      <c r="B184" s="86">
        <v>1510120010</v>
      </c>
      <c r="C184" s="86">
        <v>600</v>
      </c>
      <c r="D184" s="59" t="s">
        <v>87</v>
      </c>
      <c r="E184" s="16">
        <f t="shared" si="67"/>
        <v>7398.9</v>
      </c>
      <c r="F184" s="16">
        <f t="shared" si="67"/>
        <v>7419.5</v>
      </c>
      <c r="G184" s="16">
        <f t="shared" si="67"/>
        <v>7419.5</v>
      </c>
    </row>
    <row r="185" spans="1:7">
      <c r="A185" s="86" t="s">
        <v>50</v>
      </c>
      <c r="B185" s="86">
        <v>1510120010</v>
      </c>
      <c r="C185" s="86">
        <v>610</v>
      </c>
      <c r="D185" s="87" t="s">
        <v>115</v>
      </c>
      <c r="E185" s="16">
        <f>'№ 5'!F145</f>
        <v>7398.9</v>
      </c>
      <c r="F185" s="16">
        <f>'№ 5'!G145</f>
        <v>7419.5</v>
      </c>
      <c r="G185" s="16">
        <f>'№ 5'!H145</f>
        <v>7419.5</v>
      </c>
    </row>
    <row r="186" spans="1:7">
      <c r="A186" s="4" t="s">
        <v>59</v>
      </c>
      <c r="B186" s="4" t="s">
        <v>69</v>
      </c>
      <c r="C186" s="4" t="s">
        <v>69</v>
      </c>
      <c r="D186" s="19" t="s">
        <v>27</v>
      </c>
      <c r="E186" s="43">
        <f>E187+E194+E201+E254</f>
        <v>181789.69999999998</v>
      </c>
      <c r="F186" s="43">
        <f>F187+F194+F201+F254</f>
        <v>18890.5</v>
      </c>
      <c r="G186" s="43">
        <f>G187+G194+G201+G254</f>
        <v>21113.7</v>
      </c>
    </row>
    <row r="187" spans="1:7">
      <c r="A187" s="17" t="s">
        <v>108</v>
      </c>
      <c r="B187" s="24"/>
      <c r="C187" s="24"/>
      <c r="D187" s="59" t="s">
        <v>109</v>
      </c>
      <c r="E187" s="16">
        <f t="shared" ref="E187:G192" si="68">E188</f>
        <v>452.9</v>
      </c>
      <c r="F187" s="16">
        <f t="shared" si="68"/>
        <v>420.7</v>
      </c>
      <c r="G187" s="16">
        <f t="shared" si="68"/>
        <v>0</v>
      </c>
    </row>
    <row r="188" spans="1:7" ht="47.25">
      <c r="A188" s="17" t="s">
        <v>108</v>
      </c>
      <c r="B188" s="88">
        <v>1100000000</v>
      </c>
      <c r="C188" s="24"/>
      <c r="D188" s="59" t="s">
        <v>221</v>
      </c>
      <c r="E188" s="16">
        <f t="shared" si="68"/>
        <v>452.9</v>
      </c>
      <c r="F188" s="16">
        <f t="shared" si="68"/>
        <v>420.7</v>
      </c>
      <c r="G188" s="16">
        <f t="shared" si="68"/>
        <v>0</v>
      </c>
    </row>
    <row r="189" spans="1:7" ht="31.5">
      <c r="A189" s="17" t="s">
        <v>108</v>
      </c>
      <c r="B189" s="88">
        <v>1130000000</v>
      </c>
      <c r="C189" s="24"/>
      <c r="D189" s="59" t="s">
        <v>126</v>
      </c>
      <c r="E189" s="16">
        <f t="shared" si="68"/>
        <v>452.9</v>
      </c>
      <c r="F189" s="16">
        <f t="shared" si="68"/>
        <v>420.7</v>
      </c>
      <c r="G189" s="16">
        <f t="shared" si="68"/>
        <v>0</v>
      </c>
    </row>
    <row r="190" spans="1:7" ht="47.25">
      <c r="A190" s="17" t="s">
        <v>108</v>
      </c>
      <c r="B190" s="88">
        <v>1130300000</v>
      </c>
      <c r="C190" s="24"/>
      <c r="D190" s="59" t="s">
        <v>127</v>
      </c>
      <c r="E190" s="16">
        <f t="shared" si="68"/>
        <v>452.9</v>
      </c>
      <c r="F190" s="16">
        <f t="shared" si="68"/>
        <v>420.7</v>
      </c>
      <c r="G190" s="16">
        <f t="shared" si="68"/>
        <v>0</v>
      </c>
    </row>
    <row r="191" spans="1:7" ht="31.5">
      <c r="A191" s="17" t="s">
        <v>108</v>
      </c>
      <c r="B191" s="88">
        <v>1130320280</v>
      </c>
      <c r="C191" s="24"/>
      <c r="D191" s="59" t="s">
        <v>128</v>
      </c>
      <c r="E191" s="16">
        <f t="shared" si="68"/>
        <v>452.9</v>
      </c>
      <c r="F191" s="16">
        <f t="shared" si="68"/>
        <v>420.7</v>
      </c>
      <c r="G191" s="16">
        <f t="shared" si="68"/>
        <v>0</v>
      </c>
    </row>
    <row r="192" spans="1:7" ht="31.5">
      <c r="A192" s="17" t="s">
        <v>108</v>
      </c>
      <c r="B192" s="88">
        <v>1130320280</v>
      </c>
      <c r="C192" s="88" t="s">
        <v>104</v>
      </c>
      <c r="D192" s="87" t="s">
        <v>105</v>
      </c>
      <c r="E192" s="16">
        <f t="shared" si="68"/>
        <v>452.9</v>
      </c>
      <c r="F192" s="16">
        <f t="shared" si="68"/>
        <v>420.7</v>
      </c>
      <c r="G192" s="16">
        <f t="shared" si="68"/>
        <v>0</v>
      </c>
    </row>
    <row r="193" spans="1:7">
      <c r="A193" s="17" t="s">
        <v>108</v>
      </c>
      <c r="B193" s="88">
        <v>1130320280</v>
      </c>
      <c r="C193" s="86">
        <v>610</v>
      </c>
      <c r="D193" s="87" t="s">
        <v>115</v>
      </c>
      <c r="E193" s="16">
        <f>'№ 5'!F153+'№ 5'!F615</f>
        <v>452.9</v>
      </c>
      <c r="F193" s="16">
        <f>'№ 5'!G153+'№ 5'!G615</f>
        <v>420.7</v>
      </c>
      <c r="G193" s="16">
        <f>'№ 5'!H153+'№ 5'!H615</f>
        <v>0</v>
      </c>
    </row>
    <row r="194" spans="1:7">
      <c r="A194" s="86" t="s">
        <v>91</v>
      </c>
      <c r="B194" s="86" t="s">
        <v>69</v>
      </c>
      <c r="C194" s="86" t="s">
        <v>69</v>
      </c>
      <c r="D194" s="59" t="s">
        <v>92</v>
      </c>
      <c r="E194" s="16">
        <f t="shared" ref="E194:G199" si="69">E195</f>
        <v>375.4</v>
      </c>
      <c r="F194" s="16">
        <f t="shared" si="69"/>
        <v>385.3</v>
      </c>
      <c r="G194" s="16">
        <f t="shared" si="69"/>
        <v>389.3</v>
      </c>
    </row>
    <row r="195" spans="1:7" ht="47.25">
      <c r="A195" s="86" t="s">
        <v>91</v>
      </c>
      <c r="B195" s="88">
        <v>1300000000</v>
      </c>
      <c r="C195" s="86"/>
      <c r="D195" s="87" t="s">
        <v>222</v>
      </c>
      <c r="E195" s="16">
        <f t="shared" si="69"/>
        <v>375.4</v>
      </c>
      <c r="F195" s="16">
        <f t="shared" si="69"/>
        <v>385.3</v>
      </c>
      <c r="G195" s="16">
        <f t="shared" si="69"/>
        <v>389.3</v>
      </c>
    </row>
    <row r="196" spans="1:7" ht="31.5">
      <c r="A196" s="86" t="s">
        <v>91</v>
      </c>
      <c r="B196" s="88">
        <v>1330000000</v>
      </c>
      <c r="C196" s="86"/>
      <c r="D196" s="59" t="s">
        <v>136</v>
      </c>
      <c r="E196" s="16">
        <f t="shared" si="69"/>
        <v>375.4</v>
      </c>
      <c r="F196" s="16">
        <f t="shared" si="69"/>
        <v>385.3</v>
      </c>
      <c r="G196" s="16">
        <f t="shared" si="69"/>
        <v>389.3</v>
      </c>
    </row>
    <row r="197" spans="1:7" ht="31.5">
      <c r="A197" s="86" t="s">
        <v>91</v>
      </c>
      <c r="B197" s="88">
        <v>1330100000</v>
      </c>
      <c r="C197" s="86"/>
      <c r="D197" s="59" t="s">
        <v>223</v>
      </c>
      <c r="E197" s="16">
        <f t="shared" si="69"/>
        <v>375.4</v>
      </c>
      <c r="F197" s="16">
        <f t="shared" si="69"/>
        <v>385.3</v>
      </c>
      <c r="G197" s="16">
        <f t="shared" si="69"/>
        <v>389.3</v>
      </c>
    </row>
    <row r="198" spans="1:7" ht="78.75">
      <c r="A198" s="86" t="s">
        <v>91</v>
      </c>
      <c r="B198" s="88">
        <v>1330110550</v>
      </c>
      <c r="C198" s="86"/>
      <c r="D198" s="87" t="s">
        <v>278</v>
      </c>
      <c r="E198" s="16">
        <f t="shared" si="69"/>
        <v>375.4</v>
      </c>
      <c r="F198" s="16">
        <f t="shared" si="69"/>
        <v>385.3</v>
      </c>
      <c r="G198" s="16">
        <f t="shared" si="69"/>
        <v>389.3</v>
      </c>
    </row>
    <row r="199" spans="1:7" ht="31.5">
      <c r="A199" s="86" t="s">
        <v>91</v>
      </c>
      <c r="B199" s="88">
        <v>1330110550</v>
      </c>
      <c r="C199" s="88" t="s">
        <v>72</v>
      </c>
      <c r="D199" s="87" t="s">
        <v>102</v>
      </c>
      <c r="E199" s="16">
        <f t="shared" si="69"/>
        <v>375.4</v>
      </c>
      <c r="F199" s="16">
        <f t="shared" si="69"/>
        <v>385.3</v>
      </c>
      <c r="G199" s="16">
        <f t="shared" si="69"/>
        <v>389.3</v>
      </c>
    </row>
    <row r="200" spans="1:7" ht="31.5">
      <c r="A200" s="86" t="s">
        <v>91</v>
      </c>
      <c r="B200" s="88">
        <v>1330110550</v>
      </c>
      <c r="C200" s="86">
        <v>240</v>
      </c>
      <c r="D200" s="87" t="s">
        <v>315</v>
      </c>
      <c r="E200" s="16">
        <f>'№ 5'!F160</f>
        <v>375.4</v>
      </c>
      <c r="F200" s="16">
        <f>'№ 5'!G160</f>
        <v>385.3</v>
      </c>
      <c r="G200" s="16">
        <f>'№ 5'!H160</f>
        <v>389.3</v>
      </c>
    </row>
    <row r="201" spans="1:7">
      <c r="A201" s="86" t="s">
        <v>7</v>
      </c>
      <c r="B201" s="86" t="s">
        <v>69</v>
      </c>
      <c r="C201" s="86" t="s">
        <v>69</v>
      </c>
      <c r="D201" s="59" t="s">
        <v>96</v>
      </c>
      <c r="E201" s="16">
        <f>E202+E247</f>
        <v>178199.19999999998</v>
      </c>
      <c r="F201" s="16">
        <f>F202+F247</f>
        <v>15143.7</v>
      </c>
      <c r="G201" s="16">
        <f>G202+G247</f>
        <v>18490</v>
      </c>
    </row>
    <row r="202" spans="1:7" ht="47.25">
      <c r="A202" s="86" t="s">
        <v>7</v>
      </c>
      <c r="B202" s="88">
        <v>1400000000</v>
      </c>
      <c r="C202" s="86"/>
      <c r="D202" s="87" t="s">
        <v>224</v>
      </c>
      <c r="E202" s="16">
        <f>E203+E228</f>
        <v>169313.9</v>
      </c>
      <c r="F202" s="16">
        <f>F203+F228</f>
        <v>15143.7</v>
      </c>
      <c r="G202" s="16">
        <f>G203+G228</f>
        <v>18490</v>
      </c>
    </row>
    <row r="203" spans="1:7">
      <c r="A203" s="86" t="s">
        <v>7</v>
      </c>
      <c r="B203" s="88">
        <v>1410000000</v>
      </c>
      <c r="C203" s="86"/>
      <c r="D203" s="59" t="s">
        <v>137</v>
      </c>
      <c r="E203" s="16">
        <f>E204+E208+E218</f>
        <v>165034.29999999999</v>
      </c>
      <c r="F203" s="16">
        <f t="shared" ref="F203:G203" si="70">F204+F208+F218</f>
        <v>14543.7</v>
      </c>
      <c r="G203" s="16">
        <f t="shared" si="70"/>
        <v>18490</v>
      </c>
    </row>
    <row r="204" spans="1:7">
      <c r="A204" s="86" t="s">
        <v>7</v>
      </c>
      <c r="B204" s="88">
        <v>1410100000</v>
      </c>
      <c r="C204" s="24"/>
      <c r="D204" s="59" t="s">
        <v>225</v>
      </c>
      <c r="E204" s="16">
        <f>E205</f>
        <v>23549.1</v>
      </c>
      <c r="F204" s="16">
        <f t="shared" ref="F204:G206" si="71">F205</f>
        <v>14543.7</v>
      </c>
      <c r="G204" s="16">
        <f t="shared" si="71"/>
        <v>18490</v>
      </c>
    </row>
    <row r="205" spans="1:7" ht="31.5">
      <c r="A205" s="86" t="s">
        <v>7</v>
      </c>
      <c r="B205" s="86">
        <v>1410120100</v>
      </c>
      <c r="C205" s="86"/>
      <c r="D205" s="59" t="s">
        <v>138</v>
      </c>
      <c r="E205" s="16">
        <f>E206</f>
        <v>23549.1</v>
      </c>
      <c r="F205" s="16">
        <f t="shared" si="71"/>
        <v>14543.7</v>
      </c>
      <c r="G205" s="16">
        <f t="shared" si="71"/>
        <v>18490</v>
      </c>
    </row>
    <row r="206" spans="1:7" ht="31.5">
      <c r="A206" s="86" t="s">
        <v>7</v>
      </c>
      <c r="B206" s="86">
        <v>1410120100</v>
      </c>
      <c r="C206" s="88" t="s">
        <v>72</v>
      </c>
      <c r="D206" s="87" t="s">
        <v>102</v>
      </c>
      <c r="E206" s="16">
        <f>E207</f>
        <v>23549.1</v>
      </c>
      <c r="F206" s="16">
        <f t="shared" si="71"/>
        <v>14543.7</v>
      </c>
      <c r="G206" s="16">
        <f t="shared" si="71"/>
        <v>18490</v>
      </c>
    </row>
    <row r="207" spans="1:7" ht="31.5">
      <c r="A207" s="86" t="s">
        <v>7</v>
      </c>
      <c r="B207" s="86">
        <v>1410120100</v>
      </c>
      <c r="C207" s="86">
        <v>240</v>
      </c>
      <c r="D207" s="87" t="s">
        <v>315</v>
      </c>
      <c r="E207" s="16">
        <f>'№ 5'!F167</f>
        <v>23549.1</v>
      </c>
      <c r="F207" s="16">
        <f>'№ 5'!G167</f>
        <v>14543.7</v>
      </c>
      <c r="G207" s="16">
        <f>'№ 5'!H167</f>
        <v>18490</v>
      </c>
    </row>
    <row r="208" spans="1:7" ht="47.25">
      <c r="A208" s="86" t="s">
        <v>7</v>
      </c>
      <c r="B208" s="88">
        <v>1410200000</v>
      </c>
      <c r="C208" s="86"/>
      <c r="D208" s="59" t="s">
        <v>226</v>
      </c>
      <c r="E208" s="16">
        <f>E215+E212+E209</f>
        <v>133243.79999999999</v>
      </c>
      <c r="F208" s="16">
        <f t="shared" ref="F208:G208" si="72">F215+F212+F209</f>
        <v>0</v>
      </c>
      <c r="G208" s="16">
        <f t="shared" si="72"/>
        <v>0</v>
      </c>
    </row>
    <row r="209" spans="1:7" ht="31.5">
      <c r="A209" s="86" t="s">
        <v>7</v>
      </c>
      <c r="B209" s="86">
        <v>1410211050</v>
      </c>
      <c r="C209" s="86"/>
      <c r="D209" s="87" t="s">
        <v>376</v>
      </c>
      <c r="E209" s="21">
        <f>E210</f>
        <v>92665.299999999974</v>
      </c>
      <c r="F209" s="21">
        <f t="shared" ref="F209:G210" si="73">F210</f>
        <v>0</v>
      </c>
      <c r="G209" s="21">
        <f t="shared" si="73"/>
        <v>0</v>
      </c>
    </row>
    <row r="210" spans="1:7" ht="31.5">
      <c r="A210" s="86" t="s">
        <v>7</v>
      </c>
      <c r="B210" s="86">
        <v>1410211050</v>
      </c>
      <c r="C210" s="88" t="s">
        <v>72</v>
      </c>
      <c r="D210" s="87" t="s">
        <v>102</v>
      </c>
      <c r="E210" s="21">
        <f>E211</f>
        <v>92665.299999999974</v>
      </c>
      <c r="F210" s="21">
        <f t="shared" si="73"/>
        <v>0</v>
      </c>
      <c r="G210" s="21">
        <f t="shared" si="73"/>
        <v>0</v>
      </c>
    </row>
    <row r="211" spans="1:7" ht="31.5">
      <c r="A211" s="86" t="s">
        <v>7</v>
      </c>
      <c r="B211" s="86">
        <v>1410211050</v>
      </c>
      <c r="C211" s="86">
        <v>240</v>
      </c>
      <c r="D211" s="87" t="s">
        <v>315</v>
      </c>
      <c r="E211" s="21">
        <f>'№ 5'!F171</f>
        <v>92665.299999999974</v>
      </c>
      <c r="F211" s="21">
        <f>'№ 5'!G171</f>
        <v>0</v>
      </c>
      <c r="G211" s="21">
        <f>'№ 5'!H171</f>
        <v>0</v>
      </c>
    </row>
    <row r="212" spans="1:7">
      <c r="A212" s="86" t="s">
        <v>7</v>
      </c>
      <c r="B212" s="86">
        <v>1410220110</v>
      </c>
      <c r="C212" s="86"/>
      <c r="D212" s="66" t="s">
        <v>355</v>
      </c>
      <c r="E212" s="16">
        <f>E213</f>
        <v>499.59999999999997</v>
      </c>
      <c r="F212" s="16">
        <f t="shared" ref="F212:G213" si="74">F213</f>
        <v>0</v>
      </c>
      <c r="G212" s="16">
        <f t="shared" si="74"/>
        <v>0</v>
      </c>
    </row>
    <row r="213" spans="1:7" ht="31.5">
      <c r="A213" s="86" t="s">
        <v>7</v>
      </c>
      <c r="B213" s="86">
        <v>1410220110</v>
      </c>
      <c r="C213" s="88" t="s">
        <v>72</v>
      </c>
      <c r="D213" s="66" t="s">
        <v>102</v>
      </c>
      <c r="E213" s="16">
        <f>E214</f>
        <v>499.59999999999997</v>
      </c>
      <c r="F213" s="16">
        <f t="shared" si="74"/>
        <v>0</v>
      </c>
      <c r="G213" s="16">
        <f t="shared" si="74"/>
        <v>0</v>
      </c>
    </row>
    <row r="214" spans="1:7" ht="31.5">
      <c r="A214" s="86" t="s">
        <v>7</v>
      </c>
      <c r="B214" s="86">
        <v>1410220110</v>
      </c>
      <c r="C214" s="86">
        <v>240</v>
      </c>
      <c r="D214" s="66" t="s">
        <v>315</v>
      </c>
      <c r="E214" s="16">
        <f>'№ 5'!F174</f>
        <v>499.59999999999997</v>
      </c>
      <c r="F214" s="16">
        <f>'№ 5'!G174</f>
        <v>0</v>
      </c>
      <c r="G214" s="16">
        <f>'№ 5'!H174</f>
        <v>0</v>
      </c>
    </row>
    <row r="215" spans="1:7" ht="31.5">
      <c r="A215" s="86" t="s">
        <v>7</v>
      </c>
      <c r="B215" s="86" t="s">
        <v>286</v>
      </c>
      <c r="C215" s="86"/>
      <c r="D215" s="87" t="s">
        <v>285</v>
      </c>
      <c r="E215" s="21">
        <f>E216</f>
        <v>40078.9</v>
      </c>
      <c r="F215" s="21">
        <f t="shared" ref="F215:G216" si="75">F216</f>
        <v>0</v>
      </c>
      <c r="G215" s="21">
        <f t="shared" si="75"/>
        <v>0</v>
      </c>
    </row>
    <row r="216" spans="1:7" ht="31.5">
      <c r="A216" s="86" t="s">
        <v>7</v>
      </c>
      <c r="B216" s="86" t="s">
        <v>286</v>
      </c>
      <c r="C216" s="88" t="s">
        <v>72</v>
      </c>
      <c r="D216" s="87" t="s">
        <v>102</v>
      </c>
      <c r="E216" s="21">
        <f>E217</f>
        <v>40078.9</v>
      </c>
      <c r="F216" s="21">
        <f t="shared" si="75"/>
        <v>0</v>
      </c>
      <c r="G216" s="21">
        <f t="shared" si="75"/>
        <v>0</v>
      </c>
    </row>
    <row r="217" spans="1:7" ht="31.5">
      <c r="A217" s="86" t="s">
        <v>7</v>
      </c>
      <c r="B217" s="86" t="s">
        <v>286</v>
      </c>
      <c r="C217" s="86">
        <v>240</v>
      </c>
      <c r="D217" s="87" t="s">
        <v>315</v>
      </c>
      <c r="E217" s="21">
        <f>'№ 5'!F177</f>
        <v>40078.9</v>
      </c>
      <c r="F217" s="21">
        <f>'№ 5'!G177</f>
        <v>0</v>
      </c>
      <c r="G217" s="21">
        <f>'№ 5'!H177</f>
        <v>0</v>
      </c>
    </row>
    <row r="218" spans="1:7" ht="47.25">
      <c r="A218" s="86" t="s">
        <v>7</v>
      </c>
      <c r="B218" s="86">
        <v>1410300000</v>
      </c>
      <c r="C218" s="86"/>
      <c r="D218" s="87" t="s">
        <v>357</v>
      </c>
      <c r="E218" s="21">
        <f>E225+E219+E222</f>
        <v>8241.4</v>
      </c>
      <c r="F218" s="21">
        <f t="shared" ref="F218:G218" si="76">F225+F219+F222</f>
        <v>0</v>
      </c>
      <c r="G218" s="21">
        <f t="shared" si="76"/>
        <v>0</v>
      </c>
    </row>
    <row r="219" spans="1:7" ht="47.25">
      <c r="A219" s="86" t="s">
        <v>7</v>
      </c>
      <c r="B219" s="86">
        <v>1410311020</v>
      </c>
      <c r="C219" s="86"/>
      <c r="D219" s="87" t="s">
        <v>377</v>
      </c>
      <c r="E219" s="21">
        <f>E220</f>
        <v>5726.2</v>
      </c>
      <c r="F219" s="21">
        <f t="shared" ref="F219:G220" si="77">F220</f>
        <v>0</v>
      </c>
      <c r="G219" s="21">
        <f t="shared" si="77"/>
        <v>0</v>
      </c>
    </row>
    <row r="220" spans="1:7" ht="31.5">
      <c r="A220" s="86" t="s">
        <v>7</v>
      </c>
      <c r="B220" s="86">
        <v>1410311020</v>
      </c>
      <c r="C220" s="88" t="s">
        <v>72</v>
      </c>
      <c r="D220" s="87" t="s">
        <v>102</v>
      </c>
      <c r="E220" s="21">
        <f>E221</f>
        <v>5726.2</v>
      </c>
      <c r="F220" s="21">
        <f t="shared" si="77"/>
        <v>0</v>
      </c>
      <c r="G220" s="21">
        <f t="shared" si="77"/>
        <v>0</v>
      </c>
    </row>
    <row r="221" spans="1:7" ht="31.5">
      <c r="A221" s="86" t="s">
        <v>7</v>
      </c>
      <c r="B221" s="86">
        <v>1410311020</v>
      </c>
      <c r="C221" s="86">
        <v>240</v>
      </c>
      <c r="D221" s="87" t="s">
        <v>315</v>
      </c>
      <c r="E221" s="21">
        <f>'№ 5'!F181</f>
        <v>5726.2</v>
      </c>
      <c r="F221" s="21">
        <f>'№ 5'!G181</f>
        <v>0</v>
      </c>
      <c r="G221" s="21">
        <f>'№ 5'!H181</f>
        <v>0</v>
      </c>
    </row>
    <row r="222" spans="1:7">
      <c r="A222" s="86" t="s">
        <v>7</v>
      </c>
      <c r="B222" s="86">
        <v>1410320110</v>
      </c>
      <c r="C222" s="86"/>
      <c r="D222" s="66" t="s">
        <v>355</v>
      </c>
      <c r="E222" s="21">
        <f>E223</f>
        <v>99.9</v>
      </c>
      <c r="F222" s="21">
        <f t="shared" ref="F222:G223" si="78">F223</f>
        <v>0</v>
      </c>
      <c r="G222" s="21">
        <f t="shared" si="78"/>
        <v>0</v>
      </c>
    </row>
    <row r="223" spans="1:7" ht="31.5">
      <c r="A223" s="86" t="s">
        <v>7</v>
      </c>
      <c r="B223" s="86">
        <v>1410320110</v>
      </c>
      <c r="C223" s="88" t="s">
        <v>72</v>
      </c>
      <c r="D223" s="87" t="s">
        <v>102</v>
      </c>
      <c r="E223" s="21">
        <f>E224</f>
        <v>99.9</v>
      </c>
      <c r="F223" s="21">
        <f t="shared" si="78"/>
        <v>0</v>
      </c>
      <c r="G223" s="21">
        <f t="shared" si="78"/>
        <v>0</v>
      </c>
    </row>
    <row r="224" spans="1:7" ht="31.5">
      <c r="A224" s="86" t="s">
        <v>7</v>
      </c>
      <c r="B224" s="86">
        <v>1410320110</v>
      </c>
      <c r="C224" s="86">
        <v>240</v>
      </c>
      <c r="D224" s="87" t="s">
        <v>315</v>
      </c>
      <c r="E224" s="21">
        <f>'№ 5'!F184</f>
        <v>99.9</v>
      </c>
      <c r="F224" s="21">
        <f>'№ 5'!G184</f>
        <v>0</v>
      </c>
      <c r="G224" s="21">
        <f>'№ 5'!H184</f>
        <v>0</v>
      </c>
    </row>
    <row r="225" spans="1:7" ht="47.25">
      <c r="A225" s="86" t="s">
        <v>7</v>
      </c>
      <c r="B225" s="86" t="s">
        <v>358</v>
      </c>
      <c r="C225" s="86"/>
      <c r="D225" s="87" t="s">
        <v>359</v>
      </c>
      <c r="E225" s="21">
        <f>E226</f>
        <v>2415.3000000000002</v>
      </c>
      <c r="F225" s="21">
        <f t="shared" ref="F225:G226" si="79">F226</f>
        <v>0</v>
      </c>
      <c r="G225" s="21">
        <f t="shared" si="79"/>
        <v>0</v>
      </c>
    </row>
    <row r="226" spans="1:7" ht="31.5">
      <c r="A226" s="86" t="s">
        <v>7</v>
      </c>
      <c r="B226" s="86" t="s">
        <v>358</v>
      </c>
      <c r="C226" s="88" t="s">
        <v>72</v>
      </c>
      <c r="D226" s="87" t="s">
        <v>102</v>
      </c>
      <c r="E226" s="21">
        <f>E227</f>
        <v>2415.3000000000002</v>
      </c>
      <c r="F226" s="21">
        <f t="shared" si="79"/>
        <v>0</v>
      </c>
      <c r="G226" s="21">
        <f t="shared" si="79"/>
        <v>0</v>
      </c>
    </row>
    <row r="227" spans="1:7" ht="31.5">
      <c r="A227" s="86" t="s">
        <v>7</v>
      </c>
      <c r="B227" s="86" t="s">
        <v>358</v>
      </c>
      <c r="C227" s="86">
        <v>240</v>
      </c>
      <c r="D227" s="87" t="s">
        <v>315</v>
      </c>
      <c r="E227" s="21">
        <f>'№ 5'!F187</f>
        <v>2415.3000000000002</v>
      </c>
      <c r="F227" s="21">
        <f>'№ 5'!G187</f>
        <v>0</v>
      </c>
      <c r="G227" s="21">
        <f>'№ 5'!H187</f>
        <v>0</v>
      </c>
    </row>
    <row r="228" spans="1:7">
      <c r="A228" s="86" t="s">
        <v>7</v>
      </c>
      <c r="B228" s="88">
        <v>1420000000</v>
      </c>
      <c r="C228" s="86"/>
      <c r="D228" s="59" t="s">
        <v>139</v>
      </c>
      <c r="E228" s="16">
        <f>E229+E243+E236</f>
        <v>4279.6000000000004</v>
      </c>
      <c r="F228" s="16">
        <f t="shared" ref="F228:G228" si="80">F229+F243+F236</f>
        <v>600</v>
      </c>
      <c r="G228" s="16">
        <f t="shared" si="80"/>
        <v>0</v>
      </c>
    </row>
    <row r="229" spans="1:7" ht="31.5">
      <c r="A229" s="86" t="s">
        <v>7</v>
      </c>
      <c r="B229" s="88">
        <v>1420100000</v>
      </c>
      <c r="C229" s="86"/>
      <c r="D229" s="59" t="s">
        <v>227</v>
      </c>
      <c r="E229" s="16">
        <f>E230+E233</f>
        <v>1220.1000000000001</v>
      </c>
      <c r="F229" s="16">
        <f t="shared" ref="F229:G229" si="81">F230+F233</f>
        <v>600</v>
      </c>
      <c r="G229" s="16">
        <f t="shared" si="81"/>
        <v>0</v>
      </c>
    </row>
    <row r="230" spans="1:7" ht="47.25">
      <c r="A230" s="86" t="s">
        <v>7</v>
      </c>
      <c r="B230" s="86">
        <v>1420120110</v>
      </c>
      <c r="C230" s="86"/>
      <c r="D230" s="87" t="s">
        <v>412</v>
      </c>
      <c r="E230" s="21">
        <f>E231</f>
        <v>123.4</v>
      </c>
      <c r="F230" s="21">
        <f t="shared" ref="F230:G231" si="82">F231</f>
        <v>0</v>
      </c>
      <c r="G230" s="21">
        <f t="shared" si="82"/>
        <v>0</v>
      </c>
    </row>
    <row r="231" spans="1:7" ht="31.5">
      <c r="A231" s="86" t="s">
        <v>7</v>
      </c>
      <c r="B231" s="86">
        <v>1420120110</v>
      </c>
      <c r="C231" s="88" t="s">
        <v>72</v>
      </c>
      <c r="D231" s="87" t="s">
        <v>102</v>
      </c>
      <c r="E231" s="21">
        <f>E232</f>
        <v>123.4</v>
      </c>
      <c r="F231" s="21">
        <f t="shared" si="82"/>
        <v>0</v>
      </c>
      <c r="G231" s="21">
        <f t="shared" si="82"/>
        <v>0</v>
      </c>
    </row>
    <row r="232" spans="1:7" ht="31.5">
      <c r="A232" s="86" t="s">
        <v>7</v>
      </c>
      <c r="B232" s="86">
        <v>1420120110</v>
      </c>
      <c r="C232" s="86">
        <v>240</v>
      </c>
      <c r="D232" s="87" t="s">
        <v>315</v>
      </c>
      <c r="E232" s="21">
        <f>'№ 5'!F192</f>
        <v>123.4</v>
      </c>
      <c r="F232" s="21">
        <f>'№ 5'!G192</f>
        <v>0</v>
      </c>
      <c r="G232" s="21">
        <f>'№ 5'!H192</f>
        <v>0</v>
      </c>
    </row>
    <row r="233" spans="1:7">
      <c r="A233" s="86" t="s">
        <v>7</v>
      </c>
      <c r="B233" s="86">
        <v>1420120120</v>
      </c>
      <c r="C233" s="86"/>
      <c r="D233" s="59" t="s">
        <v>140</v>
      </c>
      <c r="E233" s="16">
        <f>E234</f>
        <v>1096.7</v>
      </c>
      <c r="F233" s="16">
        <f t="shared" ref="F233:G234" si="83">F234</f>
        <v>600</v>
      </c>
      <c r="G233" s="16">
        <f t="shared" si="83"/>
        <v>0</v>
      </c>
    </row>
    <row r="234" spans="1:7" ht="31.5">
      <c r="A234" s="86" t="s">
        <v>7</v>
      </c>
      <c r="B234" s="86">
        <v>1420120120</v>
      </c>
      <c r="C234" s="88" t="s">
        <v>72</v>
      </c>
      <c r="D234" s="87" t="s">
        <v>102</v>
      </c>
      <c r="E234" s="16">
        <f>E235</f>
        <v>1096.7</v>
      </c>
      <c r="F234" s="16">
        <f t="shared" si="83"/>
        <v>600</v>
      </c>
      <c r="G234" s="16">
        <f t="shared" si="83"/>
        <v>0</v>
      </c>
    </row>
    <row r="235" spans="1:7" ht="31.5">
      <c r="A235" s="86" t="s">
        <v>7</v>
      </c>
      <c r="B235" s="86">
        <v>1420120120</v>
      </c>
      <c r="C235" s="86">
        <v>240</v>
      </c>
      <c r="D235" s="87" t="s">
        <v>315</v>
      </c>
      <c r="E235" s="16">
        <f>'№ 5'!F195</f>
        <v>1096.7</v>
      </c>
      <c r="F235" s="16">
        <f>'№ 5'!G195</f>
        <v>600</v>
      </c>
      <c r="G235" s="16">
        <f>'№ 5'!H195</f>
        <v>0</v>
      </c>
    </row>
    <row r="236" spans="1:7" ht="47.25">
      <c r="A236" s="93" t="s">
        <v>7</v>
      </c>
      <c r="B236" s="93" t="s">
        <v>426</v>
      </c>
      <c r="C236" s="93"/>
      <c r="D236" s="94" t="s">
        <v>427</v>
      </c>
      <c r="E236" s="16">
        <f>E237+E240</f>
        <v>2859.7</v>
      </c>
      <c r="F236" s="16">
        <f t="shared" ref="F236:G236" si="84">F237+F240</f>
        <v>0</v>
      </c>
      <c r="G236" s="16">
        <f t="shared" si="84"/>
        <v>0</v>
      </c>
    </row>
    <row r="237" spans="1:7" ht="63">
      <c r="A237" s="86" t="s">
        <v>7</v>
      </c>
      <c r="B237" s="86" t="s">
        <v>421</v>
      </c>
      <c r="C237" s="86"/>
      <c r="D237" s="87" t="s">
        <v>378</v>
      </c>
      <c r="E237" s="21">
        <f>E238</f>
        <v>2642</v>
      </c>
      <c r="F237" s="21">
        <f t="shared" ref="F237:G238" si="85">F238</f>
        <v>0</v>
      </c>
      <c r="G237" s="21">
        <f t="shared" si="85"/>
        <v>0</v>
      </c>
    </row>
    <row r="238" spans="1:7" ht="31.5">
      <c r="A238" s="86" t="s">
        <v>7</v>
      </c>
      <c r="B238" s="86" t="s">
        <v>421</v>
      </c>
      <c r="C238" s="88" t="s">
        <v>72</v>
      </c>
      <c r="D238" s="87" t="s">
        <v>102</v>
      </c>
      <c r="E238" s="21">
        <f>E239</f>
        <v>2642</v>
      </c>
      <c r="F238" s="21">
        <f t="shared" si="85"/>
        <v>0</v>
      </c>
      <c r="G238" s="21">
        <f t="shared" si="85"/>
        <v>0</v>
      </c>
    </row>
    <row r="239" spans="1:7" ht="31.5">
      <c r="A239" s="86" t="s">
        <v>7</v>
      </c>
      <c r="B239" s="86" t="s">
        <v>421</v>
      </c>
      <c r="C239" s="86">
        <v>240</v>
      </c>
      <c r="D239" s="87" t="s">
        <v>315</v>
      </c>
      <c r="E239" s="21">
        <f>'№ 5'!F199</f>
        <v>2642</v>
      </c>
      <c r="F239" s="21">
        <f>'№ 5'!G199</f>
        <v>0</v>
      </c>
      <c r="G239" s="21">
        <f>'№ 5'!H199</f>
        <v>0</v>
      </c>
    </row>
    <row r="240" spans="1:7" ht="47.25">
      <c r="A240" s="86" t="s">
        <v>7</v>
      </c>
      <c r="B240" s="86" t="s">
        <v>422</v>
      </c>
      <c r="C240" s="86"/>
      <c r="D240" s="87" t="s">
        <v>356</v>
      </c>
      <c r="E240" s="16">
        <f>E241</f>
        <v>217.7</v>
      </c>
      <c r="F240" s="16">
        <f t="shared" ref="F240:G241" si="86">F241</f>
        <v>0</v>
      </c>
      <c r="G240" s="16">
        <f t="shared" si="86"/>
        <v>0</v>
      </c>
    </row>
    <row r="241" spans="1:7" ht="31.5">
      <c r="A241" s="86" t="s">
        <v>7</v>
      </c>
      <c r="B241" s="86" t="s">
        <v>422</v>
      </c>
      <c r="C241" s="88" t="s">
        <v>72</v>
      </c>
      <c r="D241" s="87" t="s">
        <v>102</v>
      </c>
      <c r="E241" s="16">
        <f>E242</f>
        <v>217.7</v>
      </c>
      <c r="F241" s="16">
        <f t="shared" si="86"/>
        <v>0</v>
      </c>
      <c r="G241" s="16">
        <f t="shared" si="86"/>
        <v>0</v>
      </c>
    </row>
    <row r="242" spans="1:7" ht="31.5">
      <c r="A242" s="86" t="s">
        <v>7</v>
      </c>
      <c r="B242" s="86" t="s">
        <v>422</v>
      </c>
      <c r="C242" s="86">
        <v>240</v>
      </c>
      <c r="D242" s="87" t="s">
        <v>315</v>
      </c>
      <c r="E242" s="16">
        <f>'№ 5'!F202</f>
        <v>217.7</v>
      </c>
      <c r="F242" s="16">
        <f>'№ 5'!G202</f>
        <v>0</v>
      </c>
      <c r="G242" s="16">
        <f>'№ 5'!H202</f>
        <v>0</v>
      </c>
    </row>
    <row r="243" spans="1:7" ht="31.5">
      <c r="A243" s="86" t="s">
        <v>7</v>
      </c>
      <c r="B243" s="86">
        <v>1420200000</v>
      </c>
      <c r="C243" s="86"/>
      <c r="D243" s="87" t="s">
        <v>390</v>
      </c>
      <c r="E243" s="16">
        <f>E244</f>
        <v>199.8</v>
      </c>
      <c r="F243" s="16">
        <f t="shared" ref="F243:G245" si="87">F244</f>
        <v>0</v>
      </c>
      <c r="G243" s="16">
        <f t="shared" si="87"/>
        <v>0</v>
      </c>
    </row>
    <row r="244" spans="1:7" ht="31.5">
      <c r="A244" s="86" t="s">
        <v>7</v>
      </c>
      <c r="B244" s="86">
        <v>1420220130</v>
      </c>
      <c r="C244" s="86"/>
      <c r="D244" s="87" t="s">
        <v>391</v>
      </c>
      <c r="E244" s="16">
        <f>E245</f>
        <v>199.8</v>
      </c>
      <c r="F244" s="16">
        <f t="shared" si="87"/>
        <v>0</v>
      </c>
      <c r="G244" s="16">
        <f t="shared" si="87"/>
        <v>0</v>
      </c>
    </row>
    <row r="245" spans="1:7" ht="31.5">
      <c r="A245" s="86" t="s">
        <v>7</v>
      </c>
      <c r="B245" s="86">
        <v>1420220130</v>
      </c>
      <c r="C245" s="88" t="s">
        <v>72</v>
      </c>
      <c r="D245" s="87" t="s">
        <v>102</v>
      </c>
      <c r="E245" s="16">
        <f>E246</f>
        <v>199.8</v>
      </c>
      <c r="F245" s="16">
        <f t="shared" si="87"/>
        <v>0</v>
      </c>
      <c r="G245" s="16">
        <f t="shared" si="87"/>
        <v>0</v>
      </c>
    </row>
    <row r="246" spans="1:7" ht="31.5">
      <c r="A246" s="86" t="s">
        <v>7</v>
      </c>
      <c r="B246" s="86">
        <v>1420220130</v>
      </c>
      <c r="C246" s="86">
        <v>240</v>
      </c>
      <c r="D246" s="87" t="s">
        <v>315</v>
      </c>
      <c r="E246" s="16">
        <f>'№ 5'!F206</f>
        <v>199.8</v>
      </c>
      <c r="F246" s="16">
        <f>'№ 5'!G206</f>
        <v>0</v>
      </c>
      <c r="G246" s="16">
        <f>'№ 5'!H206</f>
        <v>0</v>
      </c>
    </row>
    <row r="247" spans="1:7">
      <c r="A247" s="86" t="s">
        <v>7</v>
      </c>
      <c r="B247" s="88" t="s">
        <v>121</v>
      </c>
      <c r="C247" s="88" t="s">
        <v>69</v>
      </c>
      <c r="D247" s="66" t="s">
        <v>116</v>
      </c>
      <c r="E247" s="16">
        <f>E248</f>
        <v>8885.2999999999993</v>
      </c>
      <c r="F247" s="16">
        <f t="shared" ref="F247:G250" si="88">F248</f>
        <v>0</v>
      </c>
      <c r="G247" s="16">
        <f t="shared" si="88"/>
        <v>0</v>
      </c>
    </row>
    <row r="248" spans="1:7" ht="31.5">
      <c r="A248" s="86" t="s">
        <v>7</v>
      </c>
      <c r="B248" s="86">
        <v>9930000000</v>
      </c>
      <c r="C248" s="86"/>
      <c r="D248" s="66" t="s">
        <v>189</v>
      </c>
      <c r="E248" s="16">
        <f>E249</f>
        <v>8885.2999999999993</v>
      </c>
      <c r="F248" s="16">
        <f t="shared" si="88"/>
        <v>0</v>
      </c>
      <c r="G248" s="16">
        <f t="shared" si="88"/>
        <v>0</v>
      </c>
    </row>
    <row r="249" spans="1:7" ht="31.5">
      <c r="A249" s="86" t="s">
        <v>7</v>
      </c>
      <c r="B249" s="86">
        <v>9930020490</v>
      </c>
      <c r="C249" s="86"/>
      <c r="D249" s="66" t="s">
        <v>365</v>
      </c>
      <c r="E249" s="16">
        <f>E250+E252</f>
        <v>8885.2999999999993</v>
      </c>
      <c r="F249" s="16">
        <f t="shared" ref="F249:G249" si="89">F250+F252</f>
        <v>0</v>
      </c>
      <c r="G249" s="16">
        <f t="shared" si="89"/>
        <v>0</v>
      </c>
    </row>
    <row r="250" spans="1:7" ht="31.5">
      <c r="A250" s="86" t="s">
        <v>7</v>
      </c>
      <c r="B250" s="86">
        <v>9930020490</v>
      </c>
      <c r="C250" s="88" t="s">
        <v>72</v>
      </c>
      <c r="D250" s="87" t="s">
        <v>102</v>
      </c>
      <c r="E250" s="16">
        <f>E251</f>
        <v>6786.5</v>
      </c>
      <c r="F250" s="16">
        <f t="shared" si="88"/>
        <v>0</v>
      </c>
      <c r="G250" s="16">
        <f t="shared" si="88"/>
        <v>0</v>
      </c>
    </row>
    <row r="251" spans="1:7" ht="31.5">
      <c r="A251" s="86" t="s">
        <v>7</v>
      </c>
      <c r="B251" s="86">
        <v>9930020490</v>
      </c>
      <c r="C251" s="86">
        <v>240</v>
      </c>
      <c r="D251" s="87" t="s">
        <v>315</v>
      </c>
      <c r="E251" s="16">
        <f>'№ 5'!F211</f>
        <v>6786.5</v>
      </c>
      <c r="F251" s="16">
        <f>'№ 5'!G211</f>
        <v>0</v>
      </c>
      <c r="G251" s="16">
        <f>'№ 5'!H211</f>
        <v>0</v>
      </c>
    </row>
    <row r="252" spans="1:7">
      <c r="A252" s="86" t="s">
        <v>7</v>
      </c>
      <c r="B252" s="86">
        <v>9930020490</v>
      </c>
      <c r="C252" s="11" t="s">
        <v>73</v>
      </c>
      <c r="D252" s="42" t="s">
        <v>74</v>
      </c>
      <c r="E252" s="16">
        <f>E253</f>
        <v>2098.8000000000002</v>
      </c>
      <c r="F252" s="16">
        <f t="shared" ref="F252:G252" si="90">F253</f>
        <v>0</v>
      </c>
      <c r="G252" s="16">
        <f t="shared" si="90"/>
        <v>0</v>
      </c>
    </row>
    <row r="253" spans="1:7">
      <c r="A253" s="86" t="s">
        <v>7</v>
      </c>
      <c r="B253" s="86">
        <v>9930020490</v>
      </c>
      <c r="C253" s="1" t="s">
        <v>366</v>
      </c>
      <c r="D253" s="69" t="s">
        <v>367</v>
      </c>
      <c r="E253" s="16">
        <f>'№ 5'!F213</f>
        <v>2098.8000000000002</v>
      </c>
      <c r="F253" s="16">
        <f>'№ 5'!G213</f>
        <v>0</v>
      </c>
      <c r="G253" s="16">
        <f>'№ 5'!H213</f>
        <v>0</v>
      </c>
    </row>
    <row r="254" spans="1:7">
      <c r="A254" s="86" t="s">
        <v>51</v>
      </c>
      <c r="B254" s="86" t="s">
        <v>69</v>
      </c>
      <c r="C254" s="86" t="s">
        <v>69</v>
      </c>
      <c r="D254" s="59" t="s">
        <v>28</v>
      </c>
      <c r="E254" s="16">
        <f t="shared" ref="E254:G259" si="91">E255</f>
        <v>2762.2000000000003</v>
      </c>
      <c r="F254" s="16">
        <f t="shared" si="91"/>
        <v>2940.8</v>
      </c>
      <c r="G254" s="16">
        <f t="shared" si="91"/>
        <v>2234.4</v>
      </c>
    </row>
    <row r="255" spans="1:7" ht="47.25">
      <c r="A255" s="86" t="s">
        <v>51</v>
      </c>
      <c r="B255" s="88">
        <v>1600000000</v>
      </c>
      <c r="C255" s="24"/>
      <c r="D255" s="87" t="s">
        <v>125</v>
      </c>
      <c r="E255" s="16">
        <f>E256+E265</f>
        <v>2762.2000000000003</v>
      </c>
      <c r="F255" s="16">
        <f t="shared" ref="F255:G255" si="92">F256+F265</f>
        <v>2940.8</v>
      </c>
      <c r="G255" s="16">
        <f t="shared" si="92"/>
        <v>2234.4</v>
      </c>
    </row>
    <row r="256" spans="1:7" ht="31.5">
      <c r="A256" s="86" t="s">
        <v>51</v>
      </c>
      <c r="B256" s="88">
        <v>1610000000</v>
      </c>
      <c r="C256" s="86"/>
      <c r="D256" s="59" t="s">
        <v>257</v>
      </c>
      <c r="E256" s="16">
        <f>E257+E261</f>
        <v>2652.2000000000003</v>
      </c>
      <c r="F256" s="16">
        <f t="shared" ref="F256:G256" si="93">F257+F261</f>
        <v>2640.8</v>
      </c>
      <c r="G256" s="16">
        <f t="shared" si="93"/>
        <v>2234.4</v>
      </c>
    </row>
    <row r="257" spans="1:7" ht="47.25">
      <c r="A257" s="86" t="s">
        <v>51</v>
      </c>
      <c r="B257" s="88">
        <v>1610100000</v>
      </c>
      <c r="C257" s="86"/>
      <c r="D257" s="59" t="s">
        <v>228</v>
      </c>
      <c r="E257" s="16">
        <f t="shared" si="91"/>
        <v>2245.8000000000002</v>
      </c>
      <c r="F257" s="16">
        <f t="shared" si="91"/>
        <v>2234.4</v>
      </c>
      <c r="G257" s="16">
        <f t="shared" si="91"/>
        <v>2234.4</v>
      </c>
    </row>
    <row r="258" spans="1:7" ht="31.5">
      <c r="A258" s="86" t="s">
        <v>51</v>
      </c>
      <c r="B258" s="88">
        <v>1610120010</v>
      </c>
      <c r="C258" s="86"/>
      <c r="D258" s="59" t="s">
        <v>135</v>
      </c>
      <c r="E258" s="16">
        <f t="shared" si="91"/>
        <v>2245.8000000000002</v>
      </c>
      <c r="F258" s="16">
        <f t="shared" si="91"/>
        <v>2234.4</v>
      </c>
      <c r="G258" s="16">
        <f t="shared" si="91"/>
        <v>2234.4</v>
      </c>
    </row>
    <row r="259" spans="1:7" ht="31.5">
      <c r="A259" s="86" t="s">
        <v>51</v>
      </c>
      <c r="B259" s="88">
        <v>1610120010</v>
      </c>
      <c r="C259" s="88" t="s">
        <v>104</v>
      </c>
      <c r="D259" s="87" t="s">
        <v>105</v>
      </c>
      <c r="E259" s="16">
        <f t="shared" si="91"/>
        <v>2245.8000000000002</v>
      </c>
      <c r="F259" s="16">
        <f t="shared" si="91"/>
        <v>2234.4</v>
      </c>
      <c r="G259" s="16">
        <f t="shared" si="91"/>
        <v>2234.4</v>
      </c>
    </row>
    <row r="260" spans="1:7">
      <c r="A260" s="86" t="s">
        <v>51</v>
      </c>
      <c r="B260" s="88">
        <v>1610120010</v>
      </c>
      <c r="C260" s="86">
        <v>610</v>
      </c>
      <c r="D260" s="87" t="s">
        <v>115</v>
      </c>
      <c r="E260" s="16">
        <f>'№ 5'!F220</f>
        <v>2245.8000000000002</v>
      </c>
      <c r="F260" s="16">
        <f>'№ 5'!G220</f>
        <v>2234.4</v>
      </c>
      <c r="G260" s="16">
        <f>'№ 5'!H220</f>
        <v>2234.4</v>
      </c>
    </row>
    <row r="261" spans="1:7" ht="31.5">
      <c r="A261" s="86" t="s">
        <v>51</v>
      </c>
      <c r="B261" s="88">
        <v>1610300000</v>
      </c>
      <c r="C261" s="86"/>
      <c r="D261" s="87" t="s">
        <v>265</v>
      </c>
      <c r="E261" s="16">
        <f>E262</f>
        <v>406.4</v>
      </c>
      <c r="F261" s="16">
        <f t="shared" ref="F261:G261" si="94">F262</f>
        <v>406.4</v>
      </c>
      <c r="G261" s="16">
        <f t="shared" si="94"/>
        <v>0</v>
      </c>
    </row>
    <row r="262" spans="1:7">
      <c r="A262" s="86" t="s">
        <v>51</v>
      </c>
      <c r="B262" s="88">
        <v>1610320200</v>
      </c>
      <c r="C262" s="86"/>
      <c r="D262" s="87" t="s">
        <v>163</v>
      </c>
      <c r="E262" s="16">
        <f>E263</f>
        <v>406.4</v>
      </c>
      <c r="F262" s="16">
        <f t="shared" ref="F262:G263" si="95">F263</f>
        <v>406.4</v>
      </c>
      <c r="G262" s="16">
        <f t="shared" si="95"/>
        <v>0</v>
      </c>
    </row>
    <row r="263" spans="1:7" ht="31.5">
      <c r="A263" s="86" t="s">
        <v>51</v>
      </c>
      <c r="B263" s="88">
        <v>1610320200</v>
      </c>
      <c r="C263" s="88" t="s">
        <v>104</v>
      </c>
      <c r="D263" s="87" t="s">
        <v>105</v>
      </c>
      <c r="E263" s="16">
        <f>E264</f>
        <v>406.4</v>
      </c>
      <c r="F263" s="16">
        <f t="shared" si="95"/>
        <v>406.4</v>
      </c>
      <c r="G263" s="16">
        <f t="shared" si="95"/>
        <v>0</v>
      </c>
    </row>
    <row r="264" spans="1:7">
      <c r="A264" s="86" t="s">
        <v>51</v>
      </c>
      <c r="B264" s="88">
        <v>1610320200</v>
      </c>
      <c r="C264" s="86">
        <v>610</v>
      </c>
      <c r="D264" s="87" t="s">
        <v>115</v>
      </c>
      <c r="E264" s="16">
        <f>'№ 5'!F224</f>
        <v>406.4</v>
      </c>
      <c r="F264" s="16">
        <f>'№ 5'!G224</f>
        <v>406.4</v>
      </c>
      <c r="G264" s="16">
        <f>'№ 5'!H224</f>
        <v>0</v>
      </c>
    </row>
    <row r="265" spans="1:7" ht="31.5">
      <c r="A265" s="88" t="s">
        <v>51</v>
      </c>
      <c r="B265" s="88">
        <v>1620000000</v>
      </c>
      <c r="C265" s="88"/>
      <c r="D265" s="87" t="s">
        <v>118</v>
      </c>
      <c r="E265" s="16">
        <f t="shared" ref="E265:G268" si="96">E266</f>
        <v>110</v>
      </c>
      <c r="F265" s="16">
        <f t="shared" si="96"/>
        <v>300</v>
      </c>
      <c r="G265" s="16">
        <f t="shared" si="96"/>
        <v>0</v>
      </c>
    </row>
    <row r="266" spans="1:7">
      <c r="A266" s="88" t="s">
        <v>51</v>
      </c>
      <c r="B266" s="88">
        <v>1620100000</v>
      </c>
      <c r="C266" s="88"/>
      <c r="D266" s="87" t="s">
        <v>119</v>
      </c>
      <c r="E266" s="16">
        <f t="shared" si="96"/>
        <v>110</v>
      </c>
      <c r="F266" s="16">
        <f t="shared" si="96"/>
        <v>300</v>
      </c>
      <c r="G266" s="16">
        <f t="shared" si="96"/>
        <v>0</v>
      </c>
    </row>
    <row r="267" spans="1:7" ht="31.5">
      <c r="A267" s="88" t="s">
        <v>51</v>
      </c>
      <c r="B267" s="88">
        <v>1620120240</v>
      </c>
      <c r="C267" s="88"/>
      <c r="D267" s="87" t="s">
        <v>122</v>
      </c>
      <c r="E267" s="16">
        <f t="shared" si="96"/>
        <v>110</v>
      </c>
      <c r="F267" s="16">
        <f t="shared" si="96"/>
        <v>300</v>
      </c>
      <c r="G267" s="16">
        <f t="shared" si="96"/>
        <v>0</v>
      </c>
    </row>
    <row r="268" spans="1:7" ht="31.5">
      <c r="A268" s="88" t="s">
        <v>51</v>
      </c>
      <c r="B268" s="88">
        <v>1620120240</v>
      </c>
      <c r="C268" s="88" t="s">
        <v>72</v>
      </c>
      <c r="D268" s="87" t="s">
        <v>102</v>
      </c>
      <c r="E268" s="16">
        <f t="shared" si="96"/>
        <v>110</v>
      </c>
      <c r="F268" s="16">
        <f t="shared" si="96"/>
        <v>300</v>
      </c>
      <c r="G268" s="16">
        <f t="shared" si="96"/>
        <v>0</v>
      </c>
    </row>
    <row r="269" spans="1:7" ht="31.5">
      <c r="A269" s="88" t="s">
        <v>51</v>
      </c>
      <c r="B269" s="88">
        <v>1620120240</v>
      </c>
      <c r="C269" s="86">
        <v>240</v>
      </c>
      <c r="D269" s="87" t="s">
        <v>315</v>
      </c>
      <c r="E269" s="16">
        <f>'№ 5'!F563</f>
        <v>110</v>
      </c>
      <c r="F269" s="16">
        <f>'№ 5'!G563</f>
        <v>300</v>
      </c>
      <c r="G269" s="16">
        <f>'№ 5'!H563</f>
        <v>0</v>
      </c>
    </row>
    <row r="270" spans="1:7">
      <c r="A270" s="4" t="s">
        <v>60</v>
      </c>
      <c r="B270" s="4" t="s">
        <v>69</v>
      </c>
      <c r="C270" s="4" t="s">
        <v>69</v>
      </c>
      <c r="D270" s="19" t="s">
        <v>29</v>
      </c>
      <c r="E270" s="6">
        <f>E271+E278</f>
        <v>86506.299999999988</v>
      </c>
      <c r="F270" s="6">
        <f t="shared" ref="F270:G270" si="97">F271+F278</f>
        <v>18108.800000000003</v>
      </c>
      <c r="G270" s="6">
        <f t="shared" si="97"/>
        <v>10833.5</v>
      </c>
    </row>
    <row r="271" spans="1:7">
      <c r="A271" s="88" t="s">
        <v>5</v>
      </c>
      <c r="B271" s="88" t="s">
        <v>69</v>
      </c>
      <c r="C271" s="88" t="s">
        <v>69</v>
      </c>
      <c r="D271" s="87" t="s">
        <v>6</v>
      </c>
      <c r="E271" s="16">
        <f t="shared" ref="E271:G276" si="98">E272</f>
        <v>1715.7</v>
      </c>
      <c r="F271" s="16">
        <f t="shared" si="98"/>
        <v>1715.7</v>
      </c>
      <c r="G271" s="16">
        <f t="shared" si="98"/>
        <v>1715.7</v>
      </c>
    </row>
    <row r="272" spans="1:7" ht="47.25">
      <c r="A272" s="88" t="s">
        <v>5</v>
      </c>
      <c r="B272" s="88">
        <v>1600000000</v>
      </c>
      <c r="C272" s="88"/>
      <c r="D272" s="87" t="s">
        <v>125</v>
      </c>
      <c r="E272" s="16">
        <f t="shared" si="98"/>
        <v>1715.7</v>
      </c>
      <c r="F272" s="16">
        <f t="shared" si="98"/>
        <v>1715.7</v>
      </c>
      <c r="G272" s="16">
        <f t="shared" si="98"/>
        <v>1715.7</v>
      </c>
    </row>
    <row r="273" spans="1:7" ht="31.5">
      <c r="A273" s="88" t="s">
        <v>5</v>
      </c>
      <c r="B273" s="88">
        <v>1620000000</v>
      </c>
      <c r="C273" s="88"/>
      <c r="D273" s="87" t="s">
        <v>118</v>
      </c>
      <c r="E273" s="16">
        <f t="shared" si="98"/>
        <v>1715.7</v>
      </c>
      <c r="F273" s="16">
        <f t="shared" si="98"/>
        <v>1715.7</v>
      </c>
      <c r="G273" s="16">
        <f t="shared" si="98"/>
        <v>1715.7</v>
      </c>
    </row>
    <row r="274" spans="1:7">
      <c r="A274" s="88" t="s">
        <v>5</v>
      </c>
      <c r="B274" s="88">
        <v>1620100000</v>
      </c>
      <c r="C274" s="88"/>
      <c r="D274" s="87" t="s">
        <v>119</v>
      </c>
      <c r="E274" s="16">
        <f t="shared" si="98"/>
        <v>1715.7</v>
      </c>
      <c r="F274" s="16">
        <f t="shared" si="98"/>
        <v>1715.7</v>
      </c>
      <c r="G274" s="16">
        <f t="shared" si="98"/>
        <v>1715.7</v>
      </c>
    </row>
    <row r="275" spans="1:7" ht="47.25">
      <c r="A275" s="88" t="s">
        <v>5</v>
      </c>
      <c r="B275" s="88">
        <v>1620120230</v>
      </c>
      <c r="C275" s="88"/>
      <c r="D275" s="87" t="s">
        <v>124</v>
      </c>
      <c r="E275" s="16">
        <f t="shared" si="98"/>
        <v>1715.7</v>
      </c>
      <c r="F275" s="16">
        <f t="shared" si="98"/>
        <v>1715.7</v>
      </c>
      <c r="G275" s="16">
        <f t="shared" si="98"/>
        <v>1715.7</v>
      </c>
    </row>
    <row r="276" spans="1:7" ht="31.5">
      <c r="A276" s="88" t="s">
        <v>5</v>
      </c>
      <c r="B276" s="88">
        <v>1620120230</v>
      </c>
      <c r="C276" s="88" t="s">
        <v>72</v>
      </c>
      <c r="D276" s="87" t="s">
        <v>102</v>
      </c>
      <c r="E276" s="16">
        <f t="shared" si="98"/>
        <v>1715.7</v>
      </c>
      <c r="F276" s="16">
        <f t="shared" si="98"/>
        <v>1715.7</v>
      </c>
      <c r="G276" s="16">
        <f t="shared" si="98"/>
        <v>1715.7</v>
      </c>
    </row>
    <row r="277" spans="1:7" ht="31.5">
      <c r="A277" s="88" t="s">
        <v>5</v>
      </c>
      <c r="B277" s="88">
        <v>1620120230</v>
      </c>
      <c r="C277" s="86">
        <v>240</v>
      </c>
      <c r="D277" s="87" t="s">
        <v>315</v>
      </c>
      <c r="E277" s="16">
        <f>'№ 5'!F571</f>
        <v>1715.7</v>
      </c>
      <c r="F277" s="16">
        <f>'№ 5'!G571</f>
        <v>1715.7</v>
      </c>
      <c r="G277" s="16">
        <f>'№ 5'!H571</f>
        <v>1715.7</v>
      </c>
    </row>
    <row r="278" spans="1:7">
      <c r="A278" s="86" t="s">
        <v>52</v>
      </c>
      <c r="B278" s="86" t="s">
        <v>69</v>
      </c>
      <c r="C278" s="86" t="s">
        <v>69</v>
      </c>
      <c r="D278" s="59" t="s">
        <v>30</v>
      </c>
      <c r="E278" s="16">
        <f>E279</f>
        <v>84790.599999999991</v>
      </c>
      <c r="F278" s="16">
        <f t="shared" ref="F278:G278" si="99">F279</f>
        <v>16393.100000000002</v>
      </c>
      <c r="G278" s="16">
        <f t="shared" si="99"/>
        <v>9117.7999999999993</v>
      </c>
    </row>
    <row r="279" spans="1:7" ht="47.25">
      <c r="A279" s="86" t="s">
        <v>52</v>
      </c>
      <c r="B279" s="88">
        <v>1300000000</v>
      </c>
      <c r="C279" s="86"/>
      <c r="D279" s="59" t="s">
        <v>222</v>
      </c>
      <c r="E279" s="16">
        <f>E280+E295+E331</f>
        <v>84790.599999999991</v>
      </c>
      <c r="F279" s="16">
        <f>F280+F295+F331</f>
        <v>16393.100000000002</v>
      </c>
      <c r="G279" s="16">
        <f>G280+G295+G331</f>
        <v>9117.7999999999993</v>
      </c>
    </row>
    <row r="280" spans="1:7" ht="47.25">
      <c r="A280" s="86" t="s">
        <v>52</v>
      </c>
      <c r="B280" s="88">
        <v>1310000000</v>
      </c>
      <c r="C280" s="86"/>
      <c r="D280" s="59" t="s">
        <v>267</v>
      </c>
      <c r="E280" s="21">
        <f>E285+E292+E281</f>
        <v>64021.599999999999</v>
      </c>
      <c r="F280" s="21">
        <f t="shared" ref="F280:G280" si="100">F285+F292+F281</f>
        <v>147.1</v>
      </c>
      <c r="G280" s="21">
        <f t="shared" si="100"/>
        <v>0</v>
      </c>
    </row>
    <row r="281" spans="1:7" ht="47.25" customHeight="1">
      <c r="A281" s="86" t="s">
        <v>52</v>
      </c>
      <c r="B281" s="88">
        <v>1310200000</v>
      </c>
      <c r="C281" s="86"/>
      <c r="D281" s="66" t="s">
        <v>372</v>
      </c>
      <c r="E281" s="21">
        <f>E282</f>
        <v>249</v>
      </c>
      <c r="F281" s="21">
        <f t="shared" ref="F281:G283" si="101">F282</f>
        <v>0</v>
      </c>
      <c r="G281" s="21">
        <f t="shared" si="101"/>
        <v>0</v>
      </c>
    </row>
    <row r="282" spans="1:7" ht="18" customHeight="1">
      <c r="A282" s="86" t="s">
        <v>52</v>
      </c>
      <c r="B282" s="86">
        <v>1310220100</v>
      </c>
      <c r="C282" s="86"/>
      <c r="D282" s="73" t="s">
        <v>354</v>
      </c>
      <c r="E282" s="21">
        <f>E283</f>
        <v>249</v>
      </c>
      <c r="F282" s="21">
        <f t="shared" si="101"/>
        <v>0</v>
      </c>
      <c r="G282" s="21">
        <f t="shared" si="101"/>
        <v>0</v>
      </c>
    </row>
    <row r="283" spans="1:7" ht="31.5">
      <c r="A283" s="86" t="s">
        <v>52</v>
      </c>
      <c r="B283" s="86">
        <v>1310220100</v>
      </c>
      <c r="C283" s="88" t="s">
        <v>72</v>
      </c>
      <c r="D283" s="66" t="s">
        <v>102</v>
      </c>
      <c r="E283" s="21">
        <f>E284</f>
        <v>249</v>
      </c>
      <c r="F283" s="21">
        <f t="shared" si="101"/>
        <v>0</v>
      </c>
      <c r="G283" s="21">
        <f t="shared" si="101"/>
        <v>0</v>
      </c>
    </row>
    <row r="284" spans="1:7" ht="31.5">
      <c r="A284" s="86" t="s">
        <v>52</v>
      </c>
      <c r="B284" s="86">
        <v>1310220100</v>
      </c>
      <c r="C284" s="86">
        <v>240</v>
      </c>
      <c r="D284" s="66" t="s">
        <v>315</v>
      </c>
      <c r="E284" s="21">
        <f>'№ 5'!F232</f>
        <v>249</v>
      </c>
      <c r="F284" s="21">
        <f>'№ 5'!G232</f>
        <v>0</v>
      </c>
      <c r="G284" s="21">
        <f>'№ 5'!H232</f>
        <v>0</v>
      </c>
    </row>
    <row r="285" spans="1:7" ht="47.25">
      <c r="A285" s="86" t="s">
        <v>52</v>
      </c>
      <c r="B285" s="88" t="s">
        <v>341</v>
      </c>
      <c r="C285" s="24"/>
      <c r="D285" s="87" t="s">
        <v>337</v>
      </c>
      <c r="E285" s="21">
        <f>E289+E286</f>
        <v>13772.6</v>
      </c>
      <c r="F285" s="21">
        <f t="shared" ref="F285:G285" si="102">F289+F286</f>
        <v>147.1</v>
      </c>
      <c r="G285" s="21">
        <f t="shared" si="102"/>
        <v>0</v>
      </c>
    </row>
    <row r="286" spans="1:7">
      <c r="A286" s="86" t="s">
        <v>52</v>
      </c>
      <c r="B286" s="86" t="s">
        <v>364</v>
      </c>
      <c r="C286" s="86"/>
      <c r="D286" s="73" t="s">
        <v>354</v>
      </c>
      <c r="E286" s="21">
        <f>E287</f>
        <v>355.5</v>
      </c>
      <c r="F286" s="21">
        <f t="shared" ref="F286:G287" si="103">F287</f>
        <v>147.1</v>
      </c>
      <c r="G286" s="21">
        <f t="shared" si="103"/>
        <v>0</v>
      </c>
    </row>
    <row r="287" spans="1:7" ht="31.5">
      <c r="A287" s="86" t="s">
        <v>52</v>
      </c>
      <c r="B287" s="86" t="s">
        <v>364</v>
      </c>
      <c r="C287" s="88" t="s">
        <v>72</v>
      </c>
      <c r="D287" s="66" t="s">
        <v>102</v>
      </c>
      <c r="E287" s="21">
        <f>E288</f>
        <v>355.5</v>
      </c>
      <c r="F287" s="21">
        <f t="shared" si="103"/>
        <v>147.1</v>
      </c>
      <c r="G287" s="21">
        <f t="shared" si="103"/>
        <v>0</v>
      </c>
    </row>
    <row r="288" spans="1:7" ht="31.5">
      <c r="A288" s="86" t="s">
        <v>52</v>
      </c>
      <c r="B288" s="86" t="s">
        <v>364</v>
      </c>
      <c r="C288" s="86">
        <v>240</v>
      </c>
      <c r="D288" s="66" t="s">
        <v>315</v>
      </c>
      <c r="E288" s="21">
        <f>'№ 5'!F236</f>
        <v>355.5</v>
      </c>
      <c r="F288" s="21">
        <f>'№ 5'!G236</f>
        <v>147.1</v>
      </c>
      <c r="G288" s="21">
        <f>'№ 5'!H236</f>
        <v>0</v>
      </c>
    </row>
    <row r="289" spans="1:7" ht="31.5">
      <c r="A289" s="86" t="s">
        <v>52</v>
      </c>
      <c r="B289" s="88" t="s">
        <v>342</v>
      </c>
      <c r="C289" s="86"/>
      <c r="D289" s="61" t="s">
        <v>281</v>
      </c>
      <c r="E289" s="21">
        <f>E290</f>
        <v>13417.1</v>
      </c>
      <c r="F289" s="21">
        <f t="shared" ref="F289:G290" si="104">F290</f>
        <v>0</v>
      </c>
      <c r="G289" s="21">
        <f t="shared" si="104"/>
        <v>0</v>
      </c>
    </row>
    <row r="290" spans="1:7" ht="31.5">
      <c r="A290" s="86" t="s">
        <v>52</v>
      </c>
      <c r="B290" s="88" t="s">
        <v>342</v>
      </c>
      <c r="C290" s="88" t="s">
        <v>72</v>
      </c>
      <c r="D290" s="87" t="s">
        <v>102</v>
      </c>
      <c r="E290" s="21">
        <f>E291</f>
        <v>13417.1</v>
      </c>
      <c r="F290" s="21">
        <f t="shared" si="104"/>
        <v>0</v>
      </c>
      <c r="G290" s="21">
        <f t="shared" si="104"/>
        <v>0</v>
      </c>
    </row>
    <row r="291" spans="1:7" ht="31.5">
      <c r="A291" s="86" t="s">
        <v>52</v>
      </c>
      <c r="B291" s="88" t="s">
        <v>342</v>
      </c>
      <c r="C291" s="86">
        <v>240</v>
      </c>
      <c r="D291" s="87" t="s">
        <v>315</v>
      </c>
      <c r="E291" s="21">
        <f>'№ 5'!F239</f>
        <v>13417.1</v>
      </c>
      <c r="F291" s="21">
        <f>'№ 5'!G239</f>
        <v>0</v>
      </c>
      <c r="G291" s="21">
        <f>'№ 5'!H239</f>
        <v>0</v>
      </c>
    </row>
    <row r="292" spans="1:7" ht="78.75">
      <c r="A292" s="86" t="s">
        <v>52</v>
      </c>
      <c r="B292" s="86" t="s">
        <v>352</v>
      </c>
      <c r="C292" s="86"/>
      <c r="D292" s="66" t="s">
        <v>353</v>
      </c>
      <c r="E292" s="21">
        <f>E293</f>
        <v>50000</v>
      </c>
      <c r="F292" s="21">
        <f t="shared" ref="F292:G293" si="105">F293</f>
        <v>0</v>
      </c>
      <c r="G292" s="21">
        <f t="shared" si="105"/>
        <v>0</v>
      </c>
    </row>
    <row r="293" spans="1:7" ht="31.5">
      <c r="A293" s="86" t="s">
        <v>52</v>
      </c>
      <c r="B293" s="86" t="s">
        <v>352</v>
      </c>
      <c r="C293" s="88" t="s">
        <v>72</v>
      </c>
      <c r="D293" s="66" t="s">
        <v>102</v>
      </c>
      <c r="E293" s="21">
        <f>E294</f>
        <v>50000</v>
      </c>
      <c r="F293" s="21">
        <f t="shared" si="105"/>
        <v>0</v>
      </c>
      <c r="G293" s="21">
        <f t="shared" si="105"/>
        <v>0</v>
      </c>
    </row>
    <row r="294" spans="1:7" ht="31.5">
      <c r="A294" s="86" t="s">
        <v>52</v>
      </c>
      <c r="B294" s="86" t="s">
        <v>352</v>
      </c>
      <c r="C294" s="86">
        <v>240</v>
      </c>
      <c r="D294" s="66" t="s">
        <v>315</v>
      </c>
      <c r="E294" s="21">
        <f>'№ 5'!F242</f>
        <v>50000</v>
      </c>
      <c r="F294" s="21">
        <f>'№ 5'!G242</f>
        <v>0</v>
      </c>
      <c r="G294" s="21">
        <f>'№ 5'!H242</f>
        <v>0</v>
      </c>
    </row>
    <row r="295" spans="1:7">
      <c r="A295" s="86" t="s">
        <v>52</v>
      </c>
      <c r="B295" s="88">
        <v>1320000000</v>
      </c>
      <c r="C295" s="86"/>
      <c r="D295" s="59" t="s">
        <v>229</v>
      </c>
      <c r="E295" s="21">
        <f>E296+E306</f>
        <v>20610.099999999999</v>
      </c>
      <c r="F295" s="21">
        <f>F296+F306</f>
        <v>16089.1</v>
      </c>
      <c r="G295" s="21">
        <f>G296+G306</f>
        <v>8813.7999999999993</v>
      </c>
    </row>
    <row r="296" spans="1:7" ht="31.5">
      <c r="A296" s="86" t="s">
        <v>52</v>
      </c>
      <c r="B296" s="88">
        <v>1320100000</v>
      </c>
      <c r="C296" s="86"/>
      <c r="D296" s="87" t="s">
        <v>230</v>
      </c>
      <c r="E296" s="21">
        <f>E303+E300+E297</f>
        <v>2339.0999999999995</v>
      </c>
      <c r="F296" s="21">
        <f t="shared" ref="F296:G296" si="106">F303+F300+F297</f>
        <v>0</v>
      </c>
      <c r="G296" s="21">
        <f t="shared" si="106"/>
        <v>0</v>
      </c>
    </row>
    <row r="297" spans="1:7" ht="31.5">
      <c r="A297" s="86" t="s">
        <v>52</v>
      </c>
      <c r="B297" s="86">
        <v>1320110430</v>
      </c>
      <c r="C297" s="86"/>
      <c r="D297" s="66" t="s">
        <v>414</v>
      </c>
      <c r="E297" s="21">
        <f>E298</f>
        <v>1103.1999999999998</v>
      </c>
      <c r="F297" s="21">
        <f t="shared" ref="F297:G298" si="107">F298</f>
        <v>0</v>
      </c>
      <c r="G297" s="21">
        <f t="shared" si="107"/>
        <v>0</v>
      </c>
    </row>
    <row r="298" spans="1:7" ht="31.5">
      <c r="A298" s="86" t="s">
        <v>52</v>
      </c>
      <c r="B298" s="86">
        <v>1320110430</v>
      </c>
      <c r="C298" s="88" t="s">
        <v>72</v>
      </c>
      <c r="D298" s="66" t="s">
        <v>102</v>
      </c>
      <c r="E298" s="21">
        <f>E299</f>
        <v>1103.1999999999998</v>
      </c>
      <c r="F298" s="21">
        <f t="shared" si="107"/>
        <v>0</v>
      </c>
      <c r="G298" s="21">
        <f t="shared" si="107"/>
        <v>0</v>
      </c>
    </row>
    <row r="299" spans="1:7" ht="31.5">
      <c r="A299" s="86" t="s">
        <v>52</v>
      </c>
      <c r="B299" s="86">
        <v>1320110430</v>
      </c>
      <c r="C299" s="86">
        <v>240</v>
      </c>
      <c r="D299" s="66" t="s">
        <v>315</v>
      </c>
      <c r="E299" s="21">
        <f>'№ 5'!F247</f>
        <v>1103.1999999999998</v>
      </c>
      <c r="F299" s="21">
        <f>'№ 5'!G253</f>
        <v>0</v>
      </c>
      <c r="G299" s="21">
        <f>'№ 5'!H253</f>
        <v>0</v>
      </c>
    </row>
    <row r="300" spans="1:7">
      <c r="A300" s="86" t="s">
        <v>52</v>
      </c>
      <c r="B300" s="86">
        <v>1320120100</v>
      </c>
      <c r="C300" s="86"/>
      <c r="D300" s="66" t="s">
        <v>354</v>
      </c>
      <c r="E300" s="21">
        <f>E301</f>
        <v>16.399999999999999</v>
      </c>
      <c r="F300" s="21">
        <f t="shared" ref="F300:G301" si="108">F301</f>
        <v>0</v>
      </c>
      <c r="G300" s="21">
        <f t="shared" si="108"/>
        <v>0</v>
      </c>
    </row>
    <row r="301" spans="1:7" ht="31.5">
      <c r="A301" s="86" t="s">
        <v>52</v>
      </c>
      <c r="B301" s="86">
        <v>1320120100</v>
      </c>
      <c r="C301" s="88" t="s">
        <v>72</v>
      </c>
      <c r="D301" s="66" t="s">
        <v>102</v>
      </c>
      <c r="E301" s="21">
        <f>E302</f>
        <v>16.399999999999999</v>
      </c>
      <c r="F301" s="21">
        <f t="shared" si="108"/>
        <v>0</v>
      </c>
      <c r="G301" s="21">
        <f t="shared" si="108"/>
        <v>0</v>
      </c>
    </row>
    <row r="302" spans="1:7" ht="31.5">
      <c r="A302" s="86" t="s">
        <v>52</v>
      </c>
      <c r="B302" s="86">
        <v>1320120100</v>
      </c>
      <c r="C302" s="86">
        <v>240</v>
      </c>
      <c r="D302" s="66" t="s">
        <v>315</v>
      </c>
      <c r="E302" s="21">
        <f>'№ 5'!F250</f>
        <v>16.399999999999999</v>
      </c>
      <c r="F302" s="21">
        <f>'№ 5'!G250</f>
        <v>0</v>
      </c>
      <c r="G302" s="21">
        <f>'№ 5'!H250</f>
        <v>0</v>
      </c>
    </row>
    <row r="303" spans="1:7" ht="31.5">
      <c r="A303" s="86" t="s">
        <v>52</v>
      </c>
      <c r="B303" s="86" t="s">
        <v>141</v>
      </c>
      <c r="C303" s="86"/>
      <c r="D303" s="61" t="s">
        <v>277</v>
      </c>
      <c r="E303" s="21">
        <f>E304</f>
        <v>1219.4999999999998</v>
      </c>
      <c r="F303" s="21">
        <f t="shared" ref="F303:G304" si="109">F304</f>
        <v>0</v>
      </c>
      <c r="G303" s="21">
        <f t="shared" si="109"/>
        <v>0</v>
      </c>
    </row>
    <row r="304" spans="1:7" ht="31.5">
      <c r="A304" s="86" t="s">
        <v>52</v>
      </c>
      <c r="B304" s="86" t="s">
        <v>141</v>
      </c>
      <c r="C304" s="88" t="s">
        <v>72</v>
      </c>
      <c r="D304" s="87" t="s">
        <v>102</v>
      </c>
      <c r="E304" s="16">
        <f>E305</f>
        <v>1219.4999999999998</v>
      </c>
      <c r="F304" s="16">
        <f t="shared" si="109"/>
        <v>0</v>
      </c>
      <c r="G304" s="16">
        <f t="shared" si="109"/>
        <v>0</v>
      </c>
    </row>
    <row r="305" spans="1:7" ht="31.5">
      <c r="A305" s="86" t="s">
        <v>52</v>
      </c>
      <c r="B305" s="86" t="s">
        <v>141</v>
      </c>
      <c r="C305" s="86">
        <v>240</v>
      </c>
      <c r="D305" s="87" t="s">
        <v>315</v>
      </c>
      <c r="E305" s="16">
        <f>'№ 5'!F253</f>
        <v>1219.4999999999998</v>
      </c>
      <c r="F305" s="16">
        <f>'№ 5'!G253</f>
        <v>0</v>
      </c>
      <c r="G305" s="16">
        <f>'№ 5'!H253</f>
        <v>0</v>
      </c>
    </row>
    <row r="306" spans="1:7">
      <c r="A306" s="86" t="s">
        <v>52</v>
      </c>
      <c r="B306" s="88">
        <v>1320200000</v>
      </c>
      <c r="C306" s="86"/>
      <c r="D306" s="87" t="s">
        <v>142</v>
      </c>
      <c r="E306" s="16">
        <f>E310+E313+E316+E319+E325+E307+E322+E328</f>
        <v>18271</v>
      </c>
      <c r="F306" s="16">
        <f t="shared" ref="F306:G306" si="110">F310+F313+F316+F319+F325+F307+F322+F328</f>
        <v>16089.1</v>
      </c>
      <c r="G306" s="16">
        <f t="shared" si="110"/>
        <v>8813.7999999999993</v>
      </c>
    </row>
    <row r="307" spans="1:7" ht="31.5">
      <c r="A307" s="86" t="s">
        <v>52</v>
      </c>
      <c r="B307" s="86">
        <v>1320210280</v>
      </c>
      <c r="C307" s="86"/>
      <c r="D307" s="87" t="s">
        <v>397</v>
      </c>
      <c r="E307" s="16">
        <f>E308</f>
        <v>109.7</v>
      </c>
      <c r="F307" s="16">
        <f t="shared" ref="F307:G308" si="111">F308</f>
        <v>0</v>
      </c>
      <c r="G307" s="16">
        <f t="shared" si="111"/>
        <v>0</v>
      </c>
    </row>
    <row r="308" spans="1:7" ht="31.5">
      <c r="A308" s="86" t="s">
        <v>52</v>
      </c>
      <c r="B308" s="86">
        <v>1320210280</v>
      </c>
      <c r="C308" s="88" t="s">
        <v>72</v>
      </c>
      <c r="D308" s="87" t="s">
        <v>102</v>
      </c>
      <c r="E308" s="16">
        <f>E309</f>
        <v>109.7</v>
      </c>
      <c r="F308" s="16">
        <f t="shared" si="111"/>
        <v>0</v>
      </c>
      <c r="G308" s="16">
        <f t="shared" si="111"/>
        <v>0</v>
      </c>
    </row>
    <row r="309" spans="1:7" ht="31.5">
      <c r="A309" s="86" t="s">
        <v>52</v>
      </c>
      <c r="B309" s="86">
        <v>1320210280</v>
      </c>
      <c r="C309" s="86">
        <v>240</v>
      </c>
      <c r="D309" s="87" t="s">
        <v>315</v>
      </c>
      <c r="E309" s="16">
        <f>'№ 5'!F257</f>
        <v>109.7</v>
      </c>
      <c r="F309" s="16">
        <f>'№ 5'!G257</f>
        <v>0</v>
      </c>
      <c r="G309" s="16">
        <f>'№ 5'!H257</f>
        <v>0</v>
      </c>
    </row>
    <row r="310" spans="1:7">
      <c r="A310" s="86" t="s">
        <v>52</v>
      </c>
      <c r="B310" s="86">
        <v>1320220050</v>
      </c>
      <c r="C310" s="86"/>
      <c r="D310" s="87" t="s">
        <v>143</v>
      </c>
      <c r="E310" s="16">
        <f>E311</f>
        <v>14422.2</v>
      </c>
      <c r="F310" s="16">
        <f t="shared" ref="F310:G311" si="112">F311</f>
        <v>13076.1</v>
      </c>
      <c r="G310" s="16">
        <f t="shared" si="112"/>
        <v>8066.5</v>
      </c>
    </row>
    <row r="311" spans="1:7" ht="31.5">
      <c r="A311" s="86" t="s">
        <v>52</v>
      </c>
      <c r="B311" s="86">
        <v>1320220050</v>
      </c>
      <c r="C311" s="88" t="s">
        <v>72</v>
      </c>
      <c r="D311" s="87" t="s">
        <v>102</v>
      </c>
      <c r="E311" s="16">
        <f>E312</f>
        <v>14422.2</v>
      </c>
      <c r="F311" s="16">
        <f t="shared" si="112"/>
        <v>13076.1</v>
      </c>
      <c r="G311" s="16">
        <f t="shared" si="112"/>
        <v>8066.5</v>
      </c>
    </row>
    <row r="312" spans="1:7" ht="31.5">
      <c r="A312" s="86" t="s">
        <v>52</v>
      </c>
      <c r="B312" s="86">
        <v>1320220050</v>
      </c>
      <c r="C312" s="86">
        <v>240</v>
      </c>
      <c r="D312" s="87" t="s">
        <v>315</v>
      </c>
      <c r="E312" s="16">
        <f>'№ 5'!F260</f>
        <v>14422.2</v>
      </c>
      <c r="F312" s="16">
        <f>'№ 5'!G260</f>
        <v>13076.1</v>
      </c>
      <c r="G312" s="16">
        <f>'№ 5'!H260</f>
        <v>8066.5</v>
      </c>
    </row>
    <row r="313" spans="1:7">
      <c r="A313" s="86" t="s">
        <v>52</v>
      </c>
      <c r="B313" s="86">
        <v>1320220060</v>
      </c>
      <c r="C313" s="86"/>
      <c r="D313" s="87" t="s">
        <v>144</v>
      </c>
      <c r="E313" s="16">
        <f>E314</f>
        <v>1049.5999999999995</v>
      </c>
      <c r="F313" s="16">
        <f t="shared" ref="F313:G314" si="113">F314</f>
        <v>500</v>
      </c>
      <c r="G313" s="16">
        <f t="shared" si="113"/>
        <v>0</v>
      </c>
    </row>
    <row r="314" spans="1:7" ht="31.5">
      <c r="A314" s="86" t="s">
        <v>52</v>
      </c>
      <c r="B314" s="86">
        <v>1320220060</v>
      </c>
      <c r="C314" s="88" t="s">
        <v>72</v>
      </c>
      <c r="D314" s="87" t="s">
        <v>102</v>
      </c>
      <c r="E314" s="16">
        <f>E315</f>
        <v>1049.5999999999995</v>
      </c>
      <c r="F314" s="16">
        <f t="shared" si="113"/>
        <v>500</v>
      </c>
      <c r="G314" s="16">
        <f t="shared" si="113"/>
        <v>0</v>
      </c>
    </row>
    <row r="315" spans="1:7" ht="31.5">
      <c r="A315" s="86" t="s">
        <v>52</v>
      </c>
      <c r="B315" s="86">
        <v>1320220060</v>
      </c>
      <c r="C315" s="86">
        <v>240</v>
      </c>
      <c r="D315" s="87" t="s">
        <v>315</v>
      </c>
      <c r="E315" s="16">
        <f>'№ 5'!F263</f>
        <v>1049.5999999999995</v>
      </c>
      <c r="F315" s="16">
        <f>'№ 5'!G263</f>
        <v>500</v>
      </c>
      <c r="G315" s="16">
        <f>'№ 5'!H263</f>
        <v>0</v>
      </c>
    </row>
    <row r="316" spans="1:7">
      <c r="A316" s="86" t="s">
        <v>52</v>
      </c>
      <c r="B316" s="86">
        <v>1320220070</v>
      </c>
      <c r="C316" s="86"/>
      <c r="D316" s="87" t="s">
        <v>145</v>
      </c>
      <c r="E316" s="16">
        <f>E317</f>
        <v>1977.4</v>
      </c>
      <c r="F316" s="16">
        <f t="shared" ref="F316:G317" si="114">F317</f>
        <v>1998.4</v>
      </c>
      <c r="G316" s="16">
        <f t="shared" si="114"/>
        <v>601.4</v>
      </c>
    </row>
    <row r="317" spans="1:7" ht="31.5">
      <c r="A317" s="86" t="s">
        <v>52</v>
      </c>
      <c r="B317" s="86">
        <v>1320220070</v>
      </c>
      <c r="C317" s="88" t="s">
        <v>72</v>
      </c>
      <c r="D317" s="87" t="s">
        <v>102</v>
      </c>
      <c r="E317" s="16">
        <f>E318</f>
        <v>1977.4</v>
      </c>
      <c r="F317" s="16">
        <f t="shared" si="114"/>
        <v>1998.4</v>
      </c>
      <c r="G317" s="16">
        <f t="shared" si="114"/>
        <v>601.4</v>
      </c>
    </row>
    <row r="318" spans="1:7" ht="31.5">
      <c r="A318" s="86" t="s">
        <v>52</v>
      </c>
      <c r="B318" s="86">
        <v>1320220070</v>
      </c>
      <c r="C318" s="86">
        <v>240</v>
      </c>
      <c r="D318" s="87" t="s">
        <v>315</v>
      </c>
      <c r="E318" s="16">
        <f>'№ 5'!F266</f>
        <v>1977.4</v>
      </c>
      <c r="F318" s="16">
        <f>'№ 5'!G266</f>
        <v>1998.4</v>
      </c>
      <c r="G318" s="16">
        <f>'№ 5'!H266</f>
        <v>601.4</v>
      </c>
    </row>
    <row r="319" spans="1:7">
      <c r="A319" s="86" t="s">
        <v>52</v>
      </c>
      <c r="B319" s="86">
        <v>1320220080</v>
      </c>
      <c r="C319" s="86"/>
      <c r="D319" s="87" t="s">
        <v>146</v>
      </c>
      <c r="E319" s="16">
        <f>E320</f>
        <v>103.9</v>
      </c>
      <c r="F319" s="16">
        <f t="shared" ref="F319:G320" si="115">F320</f>
        <v>145.9</v>
      </c>
      <c r="G319" s="16">
        <f t="shared" si="115"/>
        <v>145.9</v>
      </c>
    </row>
    <row r="320" spans="1:7" ht="31.5">
      <c r="A320" s="86" t="s">
        <v>52</v>
      </c>
      <c r="B320" s="86">
        <v>1320220080</v>
      </c>
      <c r="C320" s="88" t="s">
        <v>72</v>
      </c>
      <c r="D320" s="87" t="s">
        <v>102</v>
      </c>
      <c r="E320" s="16">
        <f>E321</f>
        <v>103.9</v>
      </c>
      <c r="F320" s="16">
        <f t="shared" si="115"/>
        <v>145.9</v>
      </c>
      <c r="G320" s="16">
        <f t="shared" si="115"/>
        <v>145.9</v>
      </c>
    </row>
    <row r="321" spans="1:7" ht="31.5">
      <c r="A321" s="86" t="s">
        <v>52</v>
      </c>
      <c r="B321" s="86">
        <v>1320220080</v>
      </c>
      <c r="C321" s="86">
        <v>240</v>
      </c>
      <c r="D321" s="87" t="s">
        <v>315</v>
      </c>
      <c r="E321" s="16">
        <f>'№ 5'!F269</f>
        <v>103.9</v>
      </c>
      <c r="F321" s="16">
        <f>'№ 5'!G269</f>
        <v>145.9</v>
      </c>
      <c r="G321" s="16">
        <f>'№ 5'!H269</f>
        <v>145.9</v>
      </c>
    </row>
    <row r="322" spans="1:7" ht="31.5">
      <c r="A322" s="86" t="s">
        <v>52</v>
      </c>
      <c r="B322" s="86">
        <v>1320220090</v>
      </c>
      <c r="C322" s="86"/>
      <c r="D322" s="66" t="s">
        <v>424</v>
      </c>
      <c r="E322" s="16">
        <f>E323</f>
        <v>30</v>
      </c>
      <c r="F322" s="16">
        <f t="shared" ref="F322:G323" si="116">F323</f>
        <v>0</v>
      </c>
      <c r="G322" s="16">
        <f t="shared" si="116"/>
        <v>0</v>
      </c>
    </row>
    <row r="323" spans="1:7" ht="31.5">
      <c r="A323" s="86" t="s">
        <v>52</v>
      </c>
      <c r="B323" s="86">
        <v>1320220090</v>
      </c>
      <c r="C323" s="88" t="s">
        <v>72</v>
      </c>
      <c r="D323" s="87" t="s">
        <v>102</v>
      </c>
      <c r="E323" s="16">
        <f>E324</f>
        <v>30</v>
      </c>
      <c r="F323" s="16">
        <f t="shared" si="116"/>
        <v>0</v>
      </c>
      <c r="G323" s="16">
        <f t="shared" si="116"/>
        <v>0</v>
      </c>
    </row>
    <row r="324" spans="1:7" ht="31.5">
      <c r="A324" s="86" t="s">
        <v>52</v>
      </c>
      <c r="B324" s="86">
        <v>1320220090</v>
      </c>
      <c r="C324" s="86">
        <v>240</v>
      </c>
      <c r="D324" s="87" t="s">
        <v>315</v>
      </c>
      <c r="E324" s="16">
        <f>'№ 5'!F272</f>
        <v>30</v>
      </c>
      <c r="F324" s="16">
        <f>'№ 5'!G272</f>
        <v>0</v>
      </c>
      <c r="G324" s="16">
        <f>'№ 5'!H272</f>
        <v>0</v>
      </c>
    </row>
    <row r="325" spans="1:7" ht="31.5">
      <c r="A325" s="86" t="s">
        <v>52</v>
      </c>
      <c r="B325" s="86" t="s">
        <v>148</v>
      </c>
      <c r="C325" s="86"/>
      <c r="D325" s="87" t="s">
        <v>147</v>
      </c>
      <c r="E325" s="16">
        <f>E326</f>
        <v>272.60000000000002</v>
      </c>
      <c r="F325" s="16">
        <f t="shared" ref="F325:G326" si="117">F326</f>
        <v>368.7</v>
      </c>
      <c r="G325" s="16">
        <f t="shared" si="117"/>
        <v>0</v>
      </c>
    </row>
    <row r="326" spans="1:7" ht="31.5">
      <c r="A326" s="86" t="s">
        <v>52</v>
      </c>
      <c r="B326" s="86" t="s">
        <v>148</v>
      </c>
      <c r="C326" s="88" t="s">
        <v>72</v>
      </c>
      <c r="D326" s="87" t="s">
        <v>102</v>
      </c>
      <c r="E326" s="16">
        <f>E327</f>
        <v>272.60000000000002</v>
      </c>
      <c r="F326" s="16">
        <f t="shared" si="117"/>
        <v>368.7</v>
      </c>
      <c r="G326" s="16">
        <f t="shared" si="117"/>
        <v>0</v>
      </c>
    </row>
    <row r="327" spans="1:7" ht="31.5">
      <c r="A327" s="86" t="s">
        <v>52</v>
      </c>
      <c r="B327" s="86" t="s">
        <v>148</v>
      </c>
      <c r="C327" s="86">
        <v>240</v>
      </c>
      <c r="D327" s="87" t="s">
        <v>315</v>
      </c>
      <c r="E327" s="16">
        <f>'№ 5'!F275</f>
        <v>272.60000000000002</v>
      </c>
      <c r="F327" s="16">
        <f>'№ 5'!G275</f>
        <v>368.7</v>
      </c>
      <c r="G327" s="16">
        <f>'№ 5'!H275</f>
        <v>0</v>
      </c>
    </row>
    <row r="328" spans="1:7" ht="78.75">
      <c r="A328" s="192" t="s">
        <v>52</v>
      </c>
      <c r="B328" s="192" t="s">
        <v>773</v>
      </c>
      <c r="C328" s="192"/>
      <c r="D328" s="198" t="s">
        <v>778</v>
      </c>
      <c r="E328" s="16">
        <f>E329</f>
        <v>305.60000000000002</v>
      </c>
      <c r="F328" s="16">
        <f t="shared" ref="F328:G329" si="118">F329</f>
        <v>0</v>
      </c>
      <c r="G328" s="16">
        <f t="shared" si="118"/>
        <v>0</v>
      </c>
    </row>
    <row r="329" spans="1:7" ht="31.5">
      <c r="A329" s="192" t="s">
        <v>52</v>
      </c>
      <c r="B329" s="192" t="s">
        <v>773</v>
      </c>
      <c r="C329" s="194" t="s">
        <v>72</v>
      </c>
      <c r="D329" s="193" t="s">
        <v>102</v>
      </c>
      <c r="E329" s="16">
        <f>E330</f>
        <v>305.60000000000002</v>
      </c>
      <c r="F329" s="16">
        <f t="shared" si="118"/>
        <v>0</v>
      </c>
      <c r="G329" s="16">
        <f t="shared" si="118"/>
        <v>0</v>
      </c>
    </row>
    <row r="330" spans="1:7" ht="31.5">
      <c r="A330" s="192" t="s">
        <v>52</v>
      </c>
      <c r="B330" s="192" t="s">
        <v>773</v>
      </c>
      <c r="C330" s="192">
        <v>240</v>
      </c>
      <c r="D330" s="193" t="s">
        <v>315</v>
      </c>
      <c r="E330" s="16">
        <f>'№ 5'!F278</f>
        <v>305.60000000000002</v>
      </c>
      <c r="F330" s="16">
        <f>'№ 5'!G278</f>
        <v>0</v>
      </c>
      <c r="G330" s="16">
        <f>'№ 5'!H278</f>
        <v>0</v>
      </c>
    </row>
    <row r="331" spans="1:7" ht="31.5">
      <c r="A331" s="86" t="s">
        <v>52</v>
      </c>
      <c r="B331" s="88">
        <v>1330000000</v>
      </c>
      <c r="C331" s="86"/>
      <c r="D331" s="87" t="s">
        <v>136</v>
      </c>
      <c r="E331" s="16">
        <f>E332</f>
        <v>158.9</v>
      </c>
      <c r="F331" s="16">
        <f t="shared" ref="F331:G334" si="119">F332</f>
        <v>156.9</v>
      </c>
      <c r="G331" s="16">
        <f t="shared" si="119"/>
        <v>304</v>
      </c>
    </row>
    <row r="332" spans="1:7" ht="47.25">
      <c r="A332" s="86" t="s">
        <v>52</v>
      </c>
      <c r="B332" s="88">
        <v>1330200000</v>
      </c>
      <c r="C332" s="86"/>
      <c r="D332" s="87" t="s">
        <v>231</v>
      </c>
      <c r="E332" s="16">
        <f>E333</f>
        <v>158.9</v>
      </c>
      <c r="F332" s="16">
        <f t="shared" si="119"/>
        <v>156.9</v>
      </c>
      <c r="G332" s="16">
        <f t="shared" si="119"/>
        <v>304</v>
      </c>
    </row>
    <row r="333" spans="1:7">
      <c r="A333" s="86" t="s">
        <v>52</v>
      </c>
      <c r="B333" s="88">
        <v>1330220090</v>
      </c>
      <c r="C333" s="86"/>
      <c r="D333" s="87" t="s">
        <v>149</v>
      </c>
      <c r="E333" s="16">
        <f>E334</f>
        <v>158.9</v>
      </c>
      <c r="F333" s="16">
        <f t="shared" si="119"/>
        <v>156.9</v>
      </c>
      <c r="G333" s="16">
        <f t="shared" si="119"/>
        <v>304</v>
      </c>
    </row>
    <row r="334" spans="1:7" ht="31.5">
      <c r="A334" s="86" t="s">
        <v>52</v>
      </c>
      <c r="B334" s="88">
        <v>1330220090</v>
      </c>
      <c r="C334" s="88" t="s">
        <v>72</v>
      </c>
      <c r="D334" s="87" t="s">
        <v>102</v>
      </c>
      <c r="E334" s="16">
        <f>E335</f>
        <v>158.9</v>
      </c>
      <c r="F334" s="16">
        <f t="shared" si="119"/>
        <v>156.9</v>
      </c>
      <c r="G334" s="16">
        <f t="shared" si="119"/>
        <v>304</v>
      </c>
    </row>
    <row r="335" spans="1:7" ht="31.5">
      <c r="A335" s="86" t="s">
        <v>52</v>
      </c>
      <c r="B335" s="88">
        <v>1330220090</v>
      </c>
      <c r="C335" s="86">
        <v>240</v>
      </c>
      <c r="D335" s="87" t="s">
        <v>315</v>
      </c>
      <c r="E335" s="16">
        <f>'№ 5'!F283</f>
        <v>158.9</v>
      </c>
      <c r="F335" s="16">
        <f>'№ 5'!G283</f>
        <v>156.9</v>
      </c>
      <c r="G335" s="16">
        <f>'№ 5'!H283</f>
        <v>304</v>
      </c>
    </row>
    <row r="336" spans="1:7">
      <c r="A336" s="4" t="s">
        <v>39</v>
      </c>
      <c r="B336" s="4" t="s">
        <v>69</v>
      </c>
      <c r="C336" s="4" t="s">
        <v>69</v>
      </c>
      <c r="D336" s="5" t="s">
        <v>31</v>
      </c>
      <c r="E336" s="6">
        <f>E337+E384+E482+E518+E451+E475</f>
        <v>562343.5</v>
      </c>
      <c r="F336" s="6">
        <f>F337+F384+F482+F518+F451+F475</f>
        <v>529029.69999999995</v>
      </c>
      <c r="G336" s="6">
        <f>G337+G384+G482+G518+G451+G475</f>
        <v>445480.9</v>
      </c>
    </row>
    <row r="337" spans="1:7">
      <c r="A337" s="89" t="s">
        <v>53</v>
      </c>
      <c r="B337" s="89" t="s">
        <v>69</v>
      </c>
      <c r="C337" s="89" t="s">
        <v>69</v>
      </c>
      <c r="D337" s="90" t="s">
        <v>11</v>
      </c>
      <c r="E337" s="7">
        <f>E338+E363+E378</f>
        <v>236898.2</v>
      </c>
      <c r="F337" s="7">
        <f>F338+F363+F434</f>
        <v>251411.5</v>
      </c>
      <c r="G337" s="7">
        <f>G338+G363+G434</f>
        <v>169087.2</v>
      </c>
    </row>
    <row r="338" spans="1:7" ht="47.25">
      <c r="A338" s="86" t="s">
        <v>53</v>
      </c>
      <c r="B338" s="88">
        <v>1100000000</v>
      </c>
      <c r="C338" s="86"/>
      <c r="D338" s="87" t="s">
        <v>221</v>
      </c>
      <c r="E338" s="16">
        <f>E339</f>
        <v>197873.6</v>
      </c>
      <c r="F338" s="16">
        <f t="shared" ref="F338:G338" si="120">F339</f>
        <v>169087.2</v>
      </c>
      <c r="G338" s="16">
        <f t="shared" si="120"/>
        <v>169087.2</v>
      </c>
    </row>
    <row r="339" spans="1:7">
      <c r="A339" s="86" t="s">
        <v>53</v>
      </c>
      <c r="B339" s="86">
        <v>1110000000</v>
      </c>
      <c r="C339" s="86"/>
      <c r="D339" s="59" t="s">
        <v>200</v>
      </c>
      <c r="E339" s="16">
        <f>E340+E353</f>
        <v>197873.6</v>
      </c>
      <c r="F339" s="16">
        <f t="shared" ref="F339:G339" si="121">F340+F353</f>
        <v>169087.2</v>
      </c>
      <c r="G339" s="16">
        <f t="shared" si="121"/>
        <v>169087.2</v>
      </c>
    </row>
    <row r="340" spans="1:7" ht="47.25">
      <c r="A340" s="86" t="s">
        <v>53</v>
      </c>
      <c r="B340" s="86">
        <v>1110100000</v>
      </c>
      <c r="C340" s="24"/>
      <c r="D340" s="59" t="s">
        <v>201</v>
      </c>
      <c r="E340" s="16">
        <f>E347+E341+E344+E350</f>
        <v>193983.80000000002</v>
      </c>
      <c r="F340" s="16">
        <f t="shared" ref="F340:G340" si="122">F347+F341+F344+F350</f>
        <v>169087.2</v>
      </c>
      <c r="G340" s="16">
        <f t="shared" si="122"/>
        <v>169087.2</v>
      </c>
    </row>
    <row r="341" spans="1:7" ht="63">
      <c r="A341" s="2" t="s">
        <v>53</v>
      </c>
      <c r="B341" s="10" t="s">
        <v>203</v>
      </c>
      <c r="C341" s="11"/>
      <c r="D341" s="42" t="s">
        <v>114</v>
      </c>
      <c r="E341" s="16">
        <f>E342</f>
        <v>105427.3</v>
      </c>
      <c r="F341" s="16">
        <f t="shared" ref="F341:G342" si="123">F342</f>
        <v>93267</v>
      </c>
      <c r="G341" s="16">
        <f t="shared" si="123"/>
        <v>93267</v>
      </c>
    </row>
    <row r="342" spans="1:7" ht="31.5">
      <c r="A342" s="2" t="s">
        <v>53</v>
      </c>
      <c r="B342" s="10" t="s">
        <v>203</v>
      </c>
      <c r="C342" s="88" t="s">
        <v>104</v>
      </c>
      <c r="D342" s="87" t="s">
        <v>105</v>
      </c>
      <c r="E342" s="16">
        <f>E343</f>
        <v>105427.3</v>
      </c>
      <c r="F342" s="16">
        <f t="shared" si="123"/>
        <v>93267</v>
      </c>
      <c r="G342" s="16">
        <f t="shared" si="123"/>
        <v>93267</v>
      </c>
    </row>
    <row r="343" spans="1:7">
      <c r="A343" s="2" t="s">
        <v>53</v>
      </c>
      <c r="B343" s="10" t="s">
        <v>203</v>
      </c>
      <c r="C343" s="86">
        <v>610</v>
      </c>
      <c r="D343" s="87" t="s">
        <v>115</v>
      </c>
      <c r="E343" s="16">
        <f>'№ 5'!F623</f>
        <v>105427.3</v>
      </c>
      <c r="F343" s="16">
        <f>'№ 5'!G623</f>
        <v>93267</v>
      </c>
      <c r="G343" s="16">
        <f>'№ 5'!H623</f>
        <v>93267</v>
      </c>
    </row>
    <row r="344" spans="1:7" ht="63">
      <c r="A344" s="2" t="s">
        <v>53</v>
      </c>
      <c r="B344" s="10" t="s">
        <v>419</v>
      </c>
      <c r="C344" s="11"/>
      <c r="D344" s="8" t="s">
        <v>416</v>
      </c>
      <c r="E344" s="16">
        <f>E345</f>
        <v>12243.1</v>
      </c>
      <c r="F344" s="16">
        <f t="shared" ref="F344:G345" si="124">F345</f>
        <v>0</v>
      </c>
      <c r="G344" s="16">
        <f t="shared" si="124"/>
        <v>0</v>
      </c>
    </row>
    <row r="345" spans="1:7" ht="31.5">
      <c r="A345" s="2" t="s">
        <v>53</v>
      </c>
      <c r="B345" s="10" t="s">
        <v>419</v>
      </c>
      <c r="C345" s="88" t="s">
        <v>104</v>
      </c>
      <c r="D345" s="66" t="s">
        <v>105</v>
      </c>
      <c r="E345" s="16">
        <f>E346</f>
        <v>12243.1</v>
      </c>
      <c r="F345" s="16">
        <f t="shared" si="124"/>
        <v>0</v>
      </c>
      <c r="G345" s="16">
        <f t="shared" si="124"/>
        <v>0</v>
      </c>
    </row>
    <row r="346" spans="1:7">
      <c r="A346" s="2" t="s">
        <v>53</v>
      </c>
      <c r="B346" s="10" t="s">
        <v>419</v>
      </c>
      <c r="C346" s="86">
        <v>610</v>
      </c>
      <c r="D346" s="66" t="s">
        <v>115</v>
      </c>
      <c r="E346" s="16">
        <f>'№ 5'!F626</f>
        <v>12243.1</v>
      </c>
      <c r="F346" s="16">
        <f>'№ 5'!G626</f>
        <v>0</v>
      </c>
      <c r="G346" s="16">
        <f>'№ 5'!H626</f>
        <v>0</v>
      </c>
    </row>
    <row r="347" spans="1:7" ht="31.5">
      <c r="A347" s="2" t="s">
        <v>53</v>
      </c>
      <c r="B347" s="10" t="s">
        <v>202</v>
      </c>
      <c r="C347" s="10"/>
      <c r="D347" s="42" t="s">
        <v>135</v>
      </c>
      <c r="E347" s="16">
        <f>E348</f>
        <v>76189.7</v>
      </c>
      <c r="F347" s="16">
        <f t="shared" ref="F347:G348" si="125">F348</f>
        <v>75820.2</v>
      </c>
      <c r="G347" s="16">
        <f t="shared" si="125"/>
        <v>75820.2</v>
      </c>
    </row>
    <row r="348" spans="1:7" ht="31.5">
      <c r="A348" s="2" t="s">
        <v>53</v>
      </c>
      <c r="B348" s="10" t="s">
        <v>202</v>
      </c>
      <c r="C348" s="88" t="s">
        <v>104</v>
      </c>
      <c r="D348" s="87" t="s">
        <v>105</v>
      </c>
      <c r="E348" s="16">
        <f>E349</f>
        <v>76189.7</v>
      </c>
      <c r="F348" s="16">
        <f t="shared" si="125"/>
        <v>75820.2</v>
      </c>
      <c r="G348" s="16">
        <f t="shared" si="125"/>
        <v>75820.2</v>
      </c>
    </row>
    <row r="349" spans="1:7">
      <c r="A349" s="2" t="s">
        <v>53</v>
      </c>
      <c r="B349" s="10" t="s">
        <v>202</v>
      </c>
      <c r="C349" s="86">
        <v>610</v>
      </c>
      <c r="D349" s="87" t="s">
        <v>115</v>
      </c>
      <c r="E349" s="16">
        <f>'№ 5'!F629</f>
        <v>76189.7</v>
      </c>
      <c r="F349" s="16">
        <f>'№ 5'!G629</f>
        <v>75820.2</v>
      </c>
      <c r="G349" s="16">
        <f>'№ 5'!H629</f>
        <v>75820.2</v>
      </c>
    </row>
    <row r="350" spans="1:7" ht="63">
      <c r="A350" s="2" t="s">
        <v>53</v>
      </c>
      <c r="B350" s="10" t="s">
        <v>420</v>
      </c>
      <c r="C350" s="11"/>
      <c r="D350" s="8" t="s">
        <v>417</v>
      </c>
      <c r="E350" s="16">
        <f>E351</f>
        <v>123.7</v>
      </c>
      <c r="F350" s="16">
        <f t="shared" ref="F350:G351" si="126">F351</f>
        <v>0</v>
      </c>
      <c r="G350" s="16">
        <f t="shared" si="126"/>
        <v>0</v>
      </c>
    </row>
    <row r="351" spans="1:7" ht="31.5">
      <c r="A351" s="2" t="s">
        <v>53</v>
      </c>
      <c r="B351" s="10" t="s">
        <v>420</v>
      </c>
      <c r="C351" s="88" t="s">
        <v>104</v>
      </c>
      <c r="D351" s="66" t="s">
        <v>105</v>
      </c>
      <c r="E351" s="16">
        <f>E352</f>
        <v>123.7</v>
      </c>
      <c r="F351" s="16">
        <f t="shared" si="126"/>
        <v>0</v>
      </c>
      <c r="G351" s="16">
        <f t="shared" si="126"/>
        <v>0</v>
      </c>
    </row>
    <row r="352" spans="1:7">
      <c r="A352" s="2" t="s">
        <v>53</v>
      </c>
      <c r="B352" s="10" t="s">
        <v>420</v>
      </c>
      <c r="C352" s="86">
        <v>610</v>
      </c>
      <c r="D352" s="66" t="s">
        <v>115</v>
      </c>
      <c r="E352" s="16">
        <f>'№ 5'!F632</f>
        <v>123.7</v>
      </c>
      <c r="F352" s="16">
        <f>'№ 5'!G632</f>
        <v>0</v>
      </c>
      <c r="G352" s="16">
        <f>'№ 5'!H632</f>
        <v>0</v>
      </c>
    </row>
    <row r="353" spans="1:7" ht="63">
      <c r="A353" s="2" t="s">
        <v>53</v>
      </c>
      <c r="B353" s="86">
        <v>1110500000</v>
      </c>
      <c r="C353" s="86"/>
      <c r="D353" s="66" t="s">
        <v>208</v>
      </c>
      <c r="E353" s="16">
        <f>E357+E360+E354</f>
        <v>3889.8</v>
      </c>
      <c r="F353" s="16">
        <f t="shared" ref="F353:G353" si="127">F357+F360+F354</f>
        <v>0</v>
      </c>
      <c r="G353" s="16">
        <f t="shared" si="127"/>
        <v>0</v>
      </c>
    </row>
    <row r="354" spans="1:7" ht="47.25">
      <c r="A354" s="2" t="s">
        <v>53</v>
      </c>
      <c r="B354" s="10" t="s">
        <v>413</v>
      </c>
      <c r="C354" s="86"/>
      <c r="D354" s="87" t="s">
        <v>411</v>
      </c>
      <c r="E354" s="16">
        <f>E355</f>
        <v>1419.5</v>
      </c>
      <c r="F354" s="16">
        <f t="shared" ref="F354:G355" si="128">F355</f>
        <v>0</v>
      </c>
      <c r="G354" s="16">
        <f t="shared" si="128"/>
        <v>0</v>
      </c>
    </row>
    <row r="355" spans="1:7" ht="31.5">
      <c r="A355" s="2" t="s">
        <v>53</v>
      </c>
      <c r="B355" s="10" t="s">
        <v>413</v>
      </c>
      <c r="C355" s="88" t="s">
        <v>104</v>
      </c>
      <c r="D355" s="87" t="s">
        <v>105</v>
      </c>
      <c r="E355" s="16">
        <f>E356</f>
        <v>1419.5</v>
      </c>
      <c r="F355" s="16">
        <f t="shared" si="128"/>
        <v>0</v>
      </c>
      <c r="G355" s="16">
        <f t="shared" si="128"/>
        <v>0</v>
      </c>
    </row>
    <row r="356" spans="1:7">
      <c r="A356" s="2" t="s">
        <v>53</v>
      </c>
      <c r="B356" s="10" t="s">
        <v>413</v>
      </c>
      <c r="C356" s="86">
        <v>610</v>
      </c>
      <c r="D356" s="87" t="s">
        <v>115</v>
      </c>
      <c r="E356" s="16">
        <f>'№ 5'!F636</f>
        <v>1419.5</v>
      </c>
      <c r="F356" s="16">
        <f>'№ 5'!G636</f>
        <v>0</v>
      </c>
      <c r="G356" s="16">
        <f>'№ 5'!H636</f>
        <v>0</v>
      </c>
    </row>
    <row r="357" spans="1:7" ht="31.5">
      <c r="A357" s="2" t="s">
        <v>53</v>
      </c>
      <c r="B357" s="10" t="s">
        <v>383</v>
      </c>
      <c r="C357" s="86"/>
      <c r="D357" s="66" t="s">
        <v>350</v>
      </c>
      <c r="E357" s="16">
        <f>E358</f>
        <v>2046.7000000000003</v>
      </c>
      <c r="F357" s="16">
        <f t="shared" ref="F357:G358" si="129">F358</f>
        <v>0</v>
      </c>
      <c r="G357" s="16">
        <f t="shared" si="129"/>
        <v>0</v>
      </c>
    </row>
    <row r="358" spans="1:7" ht="31.5">
      <c r="A358" s="2" t="s">
        <v>53</v>
      </c>
      <c r="B358" s="10" t="s">
        <v>383</v>
      </c>
      <c r="C358" s="88" t="s">
        <v>104</v>
      </c>
      <c r="D358" s="87" t="s">
        <v>105</v>
      </c>
      <c r="E358" s="16">
        <f>E359</f>
        <v>2046.7000000000003</v>
      </c>
      <c r="F358" s="16">
        <f t="shared" si="129"/>
        <v>0</v>
      </c>
      <c r="G358" s="16">
        <f t="shared" si="129"/>
        <v>0</v>
      </c>
    </row>
    <row r="359" spans="1:7">
      <c r="A359" s="2" t="s">
        <v>53</v>
      </c>
      <c r="B359" s="10" t="s">
        <v>383</v>
      </c>
      <c r="C359" s="86">
        <v>610</v>
      </c>
      <c r="D359" s="87" t="s">
        <v>115</v>
      </c>
      <c r="E359" s="16">
        <f>'№ 5'!F639</f>
        <v>2046.7000000000003</v>
      </c>
      <c r="F359" s="16">
        <f>'№ 5'!G639</f>
        <v>0</v>
      </c>
      <c r="G359" s="16">
        <f>'№ 5'!H639</f>
        <v>0</v>
      </c>
    </row>
    <row r="360" spans="1:7" ht="47.25">
      <c r="A360" s="2" t="s">
        <v>53</v>
      </c>
      <c r="B360" s="10" t="s">
        <v>410</v>
      </c>
      <c r="C360" s="86"/>
      <c r="D360" s="87" t="s">
        <v>411</v>
      </c>
      <c r="E360" s="16">
        <f>E361</f>
        <v>423.6</v>
      </c>
      <c r="F360" s="16">
        <f t="shared" ref="F360:G361" si="130">F361</f>
        <v>0</v>
      </c>
      <c r="G360" s="16">
        <f t="shared" si="130"/>
        <v>0</v>
      </c>
    </row>
    <row r="361" spans="1:7" ht="31.5">
      <c r="A361" s="2" t="s">
        <v>53</v>
      </c>
      <c r="B361" s="10" t="s">
        <v>410</v>
      </c>
      <c r="C361" s="88" t="s">
        <v>104</v>
      </c>
      <c r="D361" s="87" t="s">
        <v>105</v>
      </c>
      <c r="E361" s="16">
        <f>E362</f>
        <v>423.6</v>
      </c>
      <c r="F361" s="16">
        <f t="shared" si="130"/>
        <v>0</v>
      </c>
      <c r="G361" s="16">
        <f t="shared" si="130"/>
        <v>0</v>
      </c>
    </row>
    <row r="362" spans="1:7">
      <c r="A362" s="2" t="s">
        <v>53</v>
      </c>
      <c r="B362" s="10" t="s">
        <v>410</v>
      </c>
      <c r="C362" s="86">
        <v>610</v>
      </c>
      <c r="D362" s="87" t="s">
        <v>115</v>
      </c>
      <c r="E362" s="16">
        <f>'№ 5'!F642</f>
        <v>423.6</v>
      </c>
      <c r="F362" s="16">
        <f>'№ 5'!G642</f>
        <v>0</v>
      </c>
      <c r="G362" s="16">
        <f>'№ 5'!H642</f>
        <v>0</v>
      </c>
    </row>
    <row r="363" spans="1:7" ht="47.25">
      <c r="A363" s="86" t="s">
        <v>53</v>
      </c>
      <c r="B363" s="88">
        <v>1200000000</v>
      </c>
      <c r="C363" s="86"/>
      <c r="D363" s="87" t="s">
        <v>216</v>
      </c>
      <c r="E363" s="16">
        <f>E364</f>
        <v>38734.100000000006</v>
      </c>
      <c r="F363" s="16">
        <f t="shared" ref="F363:G376" si="131">F364</f>
        <v>82324.3</v>
      </c>
      <c r="G363" s="16">
        <f t="shared" si="131"/>
        <v>0</v>
      </c>
    </row>
    <row r="364" spans="1:7" ht="31.5">
      <c r="A364" s="86" t="s">
        <v>53</v>
      </c>
      <c r="B364" s="88">
        <v>1250000000</v>
      </c>
      <c r="C364" s="86"/>
      <c r="D364" s="87" t="s">
        <v>325</v>
      </c>
      <c r="E364" s="16">
        <f>E365</f>
        <v>38734.100000000006</v>
      </c>
      <c r="F364" s="16">
        <f t="shared" si="131"/>
        <v>82324.3</v>
      </c>
      <c r="G364" s="16">
        <f t="shared" si="131"/>
        <v>0</v>
      </c>
    </row>
    <row r="365" spans="1:7" ht="63">
      <c r="A365" s="86" t="s">
        <v>53</v>
      </c>
      <c r="B365" s="88" t="s">
        <v>339</v>
      </c>
      <c r="C365" s="86"/>
      <c r="D365" s="87" t="s">
        <v>336</v>
      </c>
      <c r="E365" s="16">
        <f>E375+E366+E372+E369</f>
        <v>38734.100000000006</v>
      </c>
      <c r="F365" s="16">
        <f t="shared" ref="F365:G365" si="132">F375+F366+F372+F369</f>
        <v>82324.3</v>
      </c>
      <c r="G365" s="16">
        <f t="shared" si="132"/>
        <v>0</v>
      </c>
    </row>
    <row r="366" spans="1:7" ht="47.25">
      <c r="A366" s="86" t="s">
        <v>53</v>
      </c>
      <c r="B366" s="88" t="s">
        <v>345</v>
      </c>
      <c r="C366" s="86"/>
      <c r="D366" s="87" t="s">
        <v>346</v>
      </c>
      <c r="E366" s="16">
        <f>E367</f>
        <v>0</v>
      </c>
      <c r="F366" s="16">
        <f t="shared" ref="F366:G367" si="133">F367</f>
        <v>35614</v>
      </c>
      <c r="G366" s="16">
        <f t="shared" si="133"/>
        <v>0</v>
      </c>
    </row>
    <row r="367" spans="1:7" ht="31.5">
      <c r="A367" s="86" t="s">
        <v>53</v>
      </c>
      <c r="B367" s="88" t="s">
        <v>345</v>
      </c>
      <c r="C367" s="88" t="s">
        <v>75</v>
      </c>
      <c r="D367" s="66" t="s">
        <v>103</v>
      </c>
      <c r="E367" s="16">
        <f>E368</f>
        <v>0</v>
      </c>
      <c r="F367" s="16">
        <f t="shared" si="133"/>
        <v>35614</v>
      </c>
      <c r="G367" s="16">
        <f t="shared" si="133"/>
        <v>0</v>
      </c>
    </row>
    <row r="368" spans="1:7">
      <c r="A368" s="86" t="s">
        <v>53</v>
      </c>
      <c r="B368" s="88" t="s">
        <v>345</v>
      </c>
      <c r="C368" s="88" t="s">
        <v>131</v>
      </c>
      <c r="D368" s="66" t="s">
        <v>132</v>
      </c>
      <c r="E368" s="16">
        <f>'№ 5'!F291</f>
        <v>0</v>
      </c>
      <c r="F368" s="16">
        <f>'№ 5'!G291</f>
        <v>35614</v>
      </c>
      <c r="G368" s="16">
        <f>'№ 5'!H291</f>
        <v>0</v>
      </c>
    </row>
    <row r="369" spans="1:7" ht="31.5">
      <c r="A369" s="86" t="s">
        <v>53</v>
      </c>
      <c r="B369" s="88" t="s">
        <v>373</v>
      </c>
      <c r="C369" s="86"/>
      <c r="D369" s="87" t="s">
        <v>374</v>
      </c>
      <c r="E369" s="16">
        <f>E370</f>
        <v>996.8</v>
      </c>
      <c r="F369" s="16">
        <f t="shared" ref="F369:G370" si="134">F370</f>
        <v>0</v>
      </c>
      <c r="G369" s="16">
        <f t="shared" si="134"/>
        <v>0</v>
      </c>
    </row>
    <row r="370" spans="1:7" ht="31.5">
      <c r="A370" s="86" t="s">
        <v>53</v>
      </c>
      <c r="B370" s="88" t="s">
        <v>373</v>
      </c>
      <c r="C370" s="88" t="s">
        <v>75</v>
      </c>
      <c r="D370" s="66" t="s">
        <v>103</v>
      </c>
      <c r="E370" s="16">
        <f>E371</f>
        <v>996.8</v>
      </c>
      <c r="F370" s="16">
        <f t="shared" si="134"/>
        <v>0</v>
      </c>
      <c r="G370" s="16">
        <f t="shared" si="134"/>
        <v>0</v>
      </c>
    </row>
    <row r="371" spans="1:7">
      <c r="A371" s="86" t="s">
        <v>53</v>
      </c>
      <c r="B371" s="88" t="s">
        <v>373</v>
      </c>
      <c r="C371" s="88" t="s">
        <v>131</v>
      </c>
      <c r="D371" s="66" t="s">
        <v>132</v>
      </c>
      <c r="E371" s="16">
        <f>'№ 5'!F294</f>
        <v>996.8</v>
      </c>
      <c r="F371" s="16">
        <f>'№ 5'!G294</f>
        <v>0</v>
      </c>
      <c r="G371" s="16">
        <f>'№ 5'!H294</f>
        <v>0</v>
      </c>
    </row>
    <row r="372" spans="1:7" ht="63">
      <c r="A372" s="86" t="s">
        <v>53</v>
      </c>
      <c r="B372" s="88" t="s">
        <v>347</v>
      </c>
      <c r="C372" s="88"/>
      <c r="D372" s="66" t="s">
        <v>348</v>
      </c>
      <c r="E372" s="16">
        <f>E373</f>
        <v>37737.300000000003</v>
      </c>
      <c r="F372" s="16">
        <f t="shared" ref="F372:G373" si="135">F373</f>
        <v>37806.800000000003</v>
      </c>
      <c r="G372" s="16">
        <f t="shared" si="135"/>
        <v>0</v>
      </c>
    </row>
    <row r="373" spans="1:7" ht="31.5">
      <c r="A373" s="86" t="s">
        <v>53</v>
      </c>
      <c r="B373" s="88" t="s">
        <v>347</v>
      </c>
      <c r="C373" s="88" t="s">
        <v>75</v>
      </c>
      <c r="D373" s="66" t="s">
        <v>103</v>
      </c>
      <c r="E373" s="16">
        <f>E374</f>
        <v>37737.300000000003</v>
      </c>
      <c r="F373" s="16">
        <f t="shared" si="135"/>
        <v>37806.800000000003</v>
      </c>
      <c r="G373" s="16">
        <f t="shared" si="135"/>
        <v>0</v>
      </c>
    </row>
    <row r="374" spans="1:7">
      <c r="A374" s="86" t="s">
        <v>53</v>
      </c>
      <c r="B374" s="88" t="s">
        <v>347</v>
      </c>
      <c r="C374" s="88" t="s">
        <v>131</v>
      </c>
      <c r="D374" s="66" t="s">
        <v>132</v>
      </c>
      <c r="E374" s="16">
        <f>'№ 5'!F297</f>
        <v>37737.300000000003</v>
      </c>
      <c r="F374" s="16">
        <f>'№ 5'!G297</f>
        <v>37806.800000000003</v>
      </c>
      <c r="G374" s="16">
        <f>'№ 5'!H297</f>
        <v>0</v>
      </c>
    </row>
    <row r="375" spans="1:7" ht="31.5">
      <c r="A375" s="86" t="s">
        <v>53</v>
      </c>
      <c r="B375" s="88" t="s">
        <v>340</v>
      </c>
      <c r="C375" s="86"/>
      <c r="D375" s="87" t="s">
        <v>338</v>
      </c>
      <c r="E375" s="16">
        <f>E376</f>
        <v>0</v>
      </c>
      <c r="F375" s="16">
        <f t="shared" si="131"/>
        <v>8903.5</v>
      </c>
      <c r="G375" s="16">
        <f t="shared" si="131"/>
        <v>0</v>
      </c>
    </row>
    <row r="376" spans="1:7" ht="31.5">
      <c r="A376" s="86" t="s">
        <v>53</v>
      </c>
      <c r="B376" s="88" t="s">
        <v>340</v>
      </c>
      <c r="C376" s="88" t="s">
        <v>75</v>
      </c>
      <c r="D376" s="66" t="s">
        <v>103</v>
      </c>
      <c r="E376" s="16">
        <f>E377</f>
        <v>0</v>
      </c>
      <c r="F376" s="16">
        <f t="shared" si="131"/>
        <v>8903.5</v>
      </c>
      <c r="G376" s="16">
        <f t="shared" si="131"/>
        <v>0</v>
      </c>
    </row>
    <row r="377" spans="1:7">
      <c r="A377" s="86" t="s">
        <v>53</v>
      </c>
      <c r="B377" s="88" t="s">
        <v>340</v>
      </c>
      <c r="C377" s="88" t="s">
        <v>131</v>
      </c>
      <c r="D377" s="66" t="s">
        <v>132</v>
      </c>
      <c r="E377" s="16">
        <f>'№ 5'!F300</f>
        <v>0</v>
      </c>
      <c r="F377" s="16">
        <f>'№ 5'!G300</f>
        <v>8903.5</v>
      </c>
      <c r="G377" s="16">
        <f>'№ 5'!H300</f>
        <v>0</v>
      </c>
    </row>
    <row r="378" spans="1:7" ht="31.5">
      <c r="A378" s="2" t="s">
        <v>53</v>
      </c>
      <c r="B378" s="88">
        <v>1500000000</v>
      </c>
      <c r="C378" s="86"/>
      <c r="D378" s="66" t="s">
        <v>217</v>
      </c>
      <c r="E378" s="16">
        <f>E379</f>
        <v>290.5</v>
      </c>
      <c r="F378" s="16">
        <f t="shared" ref="F378:G382" si="136">F379</f>
        <v>0</v>
      </c>
      <c r="G378" s="16">
        <f t="shared" si="136"/>
        <v>0</v>
      </c>
    </row>
    <row r="379" spans="1:7" ht="31.5">
      <c r="A379" s="2" t="s">
        <v>53</v>
      </c>
      <c r="B379" s="88">
        <v>1520000000</v>
      </c>
      <c r="C379" s="86"/>
      <c r="D379" s="66" t="s">
        <v>360</v>
      </c>
      <c r="E379" s="16">
        <f>E380</f>
        <v>290.5</v>
      </c>
      <c r="F379" s="16">
        <f t="shared" si="136"/>
        <v>0</v>
      </c>
      <c r="G379" s="16">
        <f t="shared" si="136"/>
        <v>0</v>
      </c>
    </row>
    <row r="380" spans="1:7" ht="47.25">
      <c r="A380" s="2" t="s">
        <v>53</v>
      </c>
      <c r="B380" s="88">
        <v>1520200000</v>
      </c>
      <c r="C380" s="86"/>
      <c r="D380" s="73" t="s">
        <v>363</v>
      </c>
      <c r="E380" s="16">
        <f>E381</f>
        <v>290.5</v>
      </c>
      <c r="F380" s="16">
        <f t="shared" si="136"/>
        <v>0</v>
      </c>
      <c r="G380" s="16">
        <f t="shared" si="136"/>
        <v>0</v>
      </c>
    </row>
    <row r="381" spans="1:7">
      <c r="A381" s="2" t="s">
        <v>53</v>
      </c>
      <c r="B381" s="88">
        <v>1520220190</v>
      </c>
      <c r="C381" s="86"/>
      <c r="D381" s="87" t="s">
        <v>392</v>
      </c>
      <c r="E381" s="16">
        <f>E382</f>
        <v>290.5</v>
      </c>
      <c r="F381" s="16">
        <f t="shared" si="136"/>
        <v>0</v>
      </c>
      <c r="G381" s="16">
        <f t="shared" si="136"/>
        <v>0</v>
      </c>
    </row>
    <row r="382" spans="1:7" ht="31.5">
      <c r="A382" s="2" t="s">
        <v>53</v>
      </c>
      <c r="B382" s="88">
        <v>1520220190</v>
      </c>
      <c r="C382" s="88" t="s">
        <v>104</v>
      </c>
      <c r="D382" s="87" t="s">
        <v>105</v>
      </c>
      <c r="E382" s="16">
        <f>E383</f>
        <v>290.5</v>
      </c>
      <c r="F382" s="16">
        <f t="shared" si="136"/>
        <v>0</v>
      </c>
      <c r="G382" s="16">
        <f t="shared" si="136"/>
        <v>0</v>
      </c>
    </row>
    <row r="383" spans="1:7">
      <c r="A383" s="2" t="s">
        <v>53</v>
      </c>
      <c r="B383" s="88">
        <v>1520220190</v>
      </c>
      <c r="C383" s="86">
        <v>610</v>
      </c>
      <c r="D383" s="87" t="s">
        <v>115</v>
      </c>
      <c r="E383" s="16">
        <f>'№ 5'!F648</f>
        <v>290.5</v>
      </c>
      <c r="F383" s="16">
        <f>'№ 5'!G648</f>
        <v>0</v>
      </c>
      <c r="G383" s="16">
        <f>'№ 5'!H648</f>
        <v>0</v>
      </c>
    </row>
    <row r="384" spans="1:7">
      <c r="A384" s="86" t="s">
        <v>54</v>
      </c>
      <c r="B384" s="86" t="s">
        <v>69</v>
      </c>
      <c r="C384" s="86" t="s">
        <v>69</v>
      </c>
      <c r="D384" s="59" t="s">
        <v>12</v>
      </c>
      <c r="E384" s="16">
        <f>E385+E434+E446</f>
        <v>268667.50000000006</v>
      </c>
      <c r="F384" s="16">
        <f>F385+F434+F446</f>
        <v>233586.7</v>
      </c>
      <c r="G384" s="16">
        <f>G385+G434+G446</f>
        <v>233571.30000000002</v>
      </c>
    </row>
    <row r="385" spans="1:7" ht="47.25">
      <c r="A385" s="86" t="s">
        <v>54</v>
      </c>
      <c r="B385" s="88">
        <v>1100000000</v>
      </c>
      <c r="C385" s="86"/>
      <c r="D385" s="87" t="s">
        <v>221</v>
      </c>
      <c r="E385" s="16">
        <f>E386+E421+E426</f>
        <v>267704.00000000006</v>
      </c>
      <c r="F385" s="16">
        <f>F386+F421+F426</f>
        <v>233586.7</v>
      </c>
      <c r="G385" s="16">
        <f>G386+G421+G426</f>
        <v>233571.30000000002</v>
      </c>
    </row>
    <row r="386" spans="1:7">
      <c r="A386" s="86" t="s">
        <v>54</v>
      </c>
      <c r="B386" s="86">
        <v>1110000000</v>
      </c>
      <c r="C386" s="86"/>
      <c r="D386" s="59" t="s">
        <v>200</v>
      </c>
      <c r="E386" s="16">
        <f>E387+E400+E407+E417</f>
        <v>263767.30000000005</v>
      </c>
      <c r="F386" s="16">
        <f t="shared" ref="F386:G386" si="137">F387+F400+F407+F417</f>
        <v>229821.1</v>
      </c>
      <c r="G386" s="16">
        <f t="shared" si="137"/>
        <v>229821.1</v>
      </c>
    </row>
    <row r="387" spans="1:7" ht="47.25">
      <c r="A387" s="86" t="s">
        <v>54</v>
      </c>
      <c r="B387" s="86">
        <v>1110100000</v>
      </c>
      <c r="C387" s="24"/>
      <c r="D387" s="59" t="s">
        <v>201</v>
      </c>
      <c r="E387" s="16">
        <f>E394+E388+E391+E397</f>
        <v>230986.6</v>
      </c>
      <c r="F387" s="16">
        <f t="shared" ref="F387:G387" si="138">F394+F388+F391+F397</f>
        <v>229821.1</v>
      </c>
      <c r="G387" s="16">
        <f t="shared" si="138"/>
        <v>229821.1</v>
      </c>
    </row>
    <row r="388" spans="1:7" ht="94.5">
      <c r="A388" s="86" t="s">
        <v>54</v>
      </c>
      <c r="B388" s="86">
        <v>1110110750</v>
      </c>
      <c r="C388" s="86"/>
      <c r="D388" s="59" t="s">
        <v>204</v>
      </c>
      <c r="E388" s="16">
        <f>E389</f>
        <v>187624</v>
      </c>
      <c r="F388" s="16">
        <f t="shared" ref="F388:G389" si="139">F389</f>
        <v>187633</v>
      </c>
      <c r="G388" s="16">
        <f t="shared" si="139"/>
        <v>187633</v>
      </c>
    </row>
    <row r="389" spans="1:7" ht="31.5">
      <c r="A389" s="86" t="s">
        <v>54</v>
      </c>
      <c r="B389" s="86">
        <v>1110110750</v>
      </c>
      <c r="C389" s="88" t="s">
        <v>104</v>
      </c>
      <c r="D389" s="87" t="s">
        <v>105</v>
      </c>
      <c r="E389" s="16">
        <f>E390</f>
        <v>187624</v>
      </c>
      <c r="F389" s="16">
        <f t="shared" si="139"/>
        <v>187633</v>
      </c>
      <c r="G389" s="16">
        <f t="shared" si="139"/>
        <v>187633</v>
      </c>
    </row>
    <row r="390" spans="1:7">
      <c r="A390" s="86" t="s">
        <v>54</v>
      </c>
      <c r="B390" s="86">
        <v>1110110750</v>
      </c>
      <c r="C390" s="86">
        <v>610</v>
      </c>
      <c r="D390" s="87" t="s">
        <v>115</v>
      </c>
      <c r="E390" s="16">
        <f>'№ 5'!F655</f>
        <v>187624</v>
      </c>
      <c r="F390" s="16">
        <f>'№ 5'!G655</f>
        <v>187633</v>
      </c>
      <c r="G390" s="16">
        <f>'№ 5'!H655</f>
        <v>187633</v>
      </c>
    </row>
    <row r="391" spans="1:7" ht="63">
      <c r="A391" s="86" t="s">
        <v>54</v>
      </c>
      <c r="B391" s="10" t="s">
        <v>419</v>
      </c>
      <c r="C391" s="11"/>
      <c r="D391" s="8" t="s">
        <v>416</v>
      </c>
      <c r="E391" s="16">
        <f>E392</f>
        <v>2540.6999999999998</v>
      </c>
      <c r="F391" s="16">
        <f t="shared" ref="F391:G392" si="140">F392</f>
        <v>0</v>
      </c>
      <c r="G391" s="16">
        <f t="shared" si="140"/>
        <v>0</v>
      </c>
    </row>
    <row r="392" spans="1:7" ht="31.5">
      <c r="A392" s="86" t="s">
        <v>54</v>
      </c>
      <c r="B392" s="10" t="s">
        <v>419</v>
      </c>
      <c r="C392" s="88" t="s">
        <v>104</v>
      </c>
      <c r="D392" s="66" t="s">
        <v>105</v>
      </c>
      <c r="E392" s="16">
        <f>E393</f>
        <v>2540.6999999999998</v>
      </c>
      <c r="F392" s="16">
        <f t="shared" si="140"/>
        <v>0</v>
      </c>
      <c r="G392" s="16">
        <f t="shared" si="140"/>
        <v>0</v>
      </c>
    </row>
    <row r="393" spans="1:7">
      <c r="A393" s="86" t="s">
        <v>54</v>
      </c>
      <c r="B393" s="10" t="s">
        <v>419</v>
      </c>
      <c r="C393" s="86">
        <v>610</v>
      </c>
      <c r="D393" s="66" t="s">
        <v>115</v>
      </c>
      <c r="E393" s="16">
        <f>'№ 5'!F658</f>
        <v>2540.6999999999998</v>
      </c>
      <c r="F393" s="16">
        <f>'№ 5'!G658</f>
        <v>0</v>
      </c>
      <c r="G393" s="16">
        <f>'№ 5'!H658</f>
        <v>0</v>
      </c>
    </row>
    <row r="394" spans="1:7" ht="31.5">
      <c r="A394" s="86" t="s">
        <v>54</v>
      </c>
      <c r="B394" s="10" t="s">
        <v>202</v>
      </c>
      <c r="C394" s="10"/>
      <c r="D394" s="42" t="s">
        <v>135</v>
      </c>
      <c r="E394" s="16">
        <f>E395</f>
        <v>40796.299999999996</v>
      </c>
      <c r="F394" s="16">
        <f t="shared" ref="F394:G395" si="141">F395</f>
        <v>42188.1</v>
      </c>
      <c r="G394" s="16">
        <f t="shared" si="141"/>
        <v>42188.1</v>
      </c>
    </row>
    <row r="395" spans="1:7" ht="31.5">
      <c r="A395" s="86" t="s">
        <v>54</v>
      </c>
      <c r="B395" s="10" t="s">
        <v>202</v>
      </c>
      <c r="C395" s="88" t="s">
        <v>104</v>
      </c>
      <c r="D395" s="87" t="s">
        <v>105</v>
      </c>
      <c r="E395" s="16">
        <f>E396</f>
        <v>40796.299999999996</v>
      </c>
      <c r="F395" s="16">
        <f t="shared" si="141"/>
        <v>42188.1</v>
      </c>
      <c r="G395" s="16">
        <f t="shared" si="141"/>
        <v>42188.1</v>
      </c>
    </row>
    <row r="396" spans="1:7">
      <c r="A396" s="86" t="s">
        <v>54</v>
      </c>
      <c r="B396" s="10" t="s">
        <v>202</v>
      </c>
      <c r="C396" s="86">
        <v>610</v>
      </c>
      <c r="D396" s="87" t="s">
        <v>115</v>
      </c>
      <c r="E396" s="16">
        <f>'№ 5'!F661</f>
        <v>40796.299999999996</v>
      </c>
      <c r="F396" s="16">
        <f>'№ 5'!G661</f>
        <v>42188.1</v>
      </c>
      <c r="G396" s="16">
        <f>'№ 5'!H661</f>
        <v>42188.1</v>
      </c>
    </row>
    <row r="397" spans="1:7" ht="63">
      <c r="A397" s="86" t="s">
        <v>54</v>
      </c>
      <c r="B397" s="10" t="s">
        <v>420</v>
      </c>
      <c r="C397" s="11"/>
      <c r="D397" s="8" t="s">
        <v>417</v>
      </c>
      <c r="E397" s="16">
        <f>E398</f>
        <v>25.6</v>
      </c>
      <c r="F397" s="16">
        <f t="shared" ref="F397:G398" si="142">F398</f>
        <v>0</v>
      </c>
      <c r="G397" s="16">
        <f t="shared" si="142"/>
        <v>0</v>
      </c>
    </row>
    <row r="398" spans="1:7" ht="31.5">
      <c r="A398" s="86" t="s">
        <v>54</v>
      </c>
      <c r="B398" s="10" t="s">
        <v>420</v>
      </c>
      <c r="C398" s="88" t="s">
        <v>104</v>
      </c>
      <c r="D398" s="66" t="s">
        <v>105</v>
      </c>
      <c r="E398" s="16">
        <f>E399</f>
        <v>25.6</v>
      </c>
      <c r="F398" s="16">
        <f t="shared" si="142"/>
        <v>0</v>
      </c>
      <c r="G398" s="16">
        <f t="shared" si="142"/>
        <v>0</v>
      </c>
    </row>
    <row r="399" spans="1:7">
      <c r="A399" s="86" t="s">
        <v>54</v>
      </c>
      <c r="B399" s="10" t="s">
        <v>420</v>
      </c>
      <c r="C399" s="86">
        <v>610</v>
      </c>
      <c r="D399" s="66" t="s">
        <v>115</v>
      </c>
      <c r="E399" s="16">
        <f>'№ 5'!F664</f>
        <v>25.6</v>
      </c>
      <c r="F399" s="16">
        <f>'№ 5'!G664</f>
        <v>0</v>
      </c>
      <c r="G399" s="16">
        <f>'№ 5'!H664</f>
        <v>0</v>
      </c>
    </row>
    <row r="400" spans="1:7" ht="31.5">
      <c r="A400" s="86" t="s">
        <v>54</v>
      </c>
      <c r="B400" s="86">
        <v>1110300000</v>
      </c>
      <c r="C400" s="86"/>
      <c r="D400" s="59" t="s">
        <v>205</v>
      </c>
      <c r="E400" s="16">
        <f>E404+E401</f>
        <v>8271.6</v>
      </c>
      <c r="F400" s="16">
        <f t="shared" ref="F400:G400" si="143">F404+F401</f>
        <v>0</v>
      </c>
      <c r="G400" s="16">
        <f t="shared" si="143"/>
        <v>0</v>
      </c>
    </row>
    <row r="401" spans="1:7" ht="47.25">
      <c r="A401" s="86" t="s">
        <v>54</v>
      </c>
      <c r="B401" s="86">
        <v>1110310230</v>
      </c>
      <c r="C401" s="86"/>
      <c r="D401" s="87" t="s">
        <v>206</v>
      </c>
      <c r="E401" s="16">
        <f>E402</f>
        <v>4135.8</v>
      </c>
      <c r="F401" s="16">
        <f t="shared" ref="F401:G402" si="144">F402</f>
        <v>0</v>
      </c>
      <c r="G401" s="16">
        <f t="shared" si="144"/>
        <v>0</v>
      </c>
    </row>
    <row r="402" spans="1:7" ht="31.5">
      <c r="A402" s="86" t="s">
        <v>54</v>
      </c>
      <c r="B402" s="86">
        <v>1110310230</v>
      </c>
      <c r="C402" s="88" t="s">
        <v>104</v>
      </c>
      <c r="D402" s="87" t="s">
        <v>105</v>
      </c>
      <c r="E402" s="16">
        <f>E403</f>
        <v>4135.8</v>
      </c>
      <c r="F402" s="16">
        <f t="shared" si="144"/>
        <v>0</v>
      </c>
      <c r="G402" s="16">
        <f t="shared" si="144"/>
        <v>0</v>
      </c>
    </row>
    <row r="403" spans="1:7">
      <c r="A403" s="86" t="s">
        <v>54</v>
      </c>
      <c r="B403" s="86">
        <v>1110310230</v>
      </c>
      <c r="C403" s="86">
        <v>610</v>
      </c>
      <c r="D403" s="87" t="s">
        <v>115</v>
      </c>
      <c r="E403" s="16">
        <f>'№ 5'!F668</f>
        <v>4135.8</v>
      </c>
      <c r="F403" s="16">
        <f>'№ 5'!G668</f>
        <v>0</v>
      </c>
      <c r="G403" s="16">
        <f>'№ 5'!H668</f>
        <v>0</v>
      </c>
    </row>
    <row r="404" spans="1:7" ht="47.25">
      <c r="A404" s="86" t="s">
        <v>54</v>
      </c>
      <c r="B404" s="86" t="s">
        <v>207</v>
      </c>
      <c r="C404" s="86"/>
      <c r="D404" s="59" t="s">
        <v>206</v>
      </c>
      <c r="E404" s="16">
        <f>E405</f>
        <v>4135.8</v>
      </c>
      <c r="F404" s="16">
        <f t="shared" ref="F404:G405" si="145">F405</f>
        <v>0</v>
      </c>
      <c r="G404" s="16">
        <f t="shared" si="145"/>
        <v>0</v>
      </c>
    </row>
    <row r="405" spans="1:7" ht="31.5">
      <c r="A405" s="86" t="s">
        <v>54</v>
      </c>
      <c r="B405" s="86" t="s">
        <v>207</v>
      </c>
      <c r="C405" s="88" t="s">
        <v>104</v>
      </c>
      <c r="D405" s="87" t="s">
        <v>105</v>
      </c>
      <c r="E405" s="16">
        <f>E406</f>
        <v>4135.8</v>
      </c>
      <c r="F405" s="16">
        <f t="shared" si="145"/>
        <v>0</v>
      </c>
      <c r="G405" s="16">
        <f t="shared" si="145"/>
        <v>0</v>
      </c>
    </row>
    <row r="406" spans="1:7">
      <c r="A406" s="86" t="s">
        <v>54</v>
      </c>
      <c r="B406" s="86" t="s">
        <v>207</v>
      </c>
      <c r="C406" s="86">
        <v>610</v>
      </c>
      <c r="D406" s="87" t="s">
        <v>115</v>
      </c>
      <c r="E406" s="16">
        <f>'№ 5'!F671</f>
        <v>4135.8</v>
      </c>
      <c r="F406" s="16">
        <f>'№ 5'!G671</f>
        <v>0</v>
      </c>
      <c r="G406" s="16">
        <f>'№ 5'!H671</f>
        <v>0</v>
      </c>
    </row>
    <row r="407" spans="1:7" ht="63">
      <c r="A407" s="86" t="s">
        <v>54</v>
      </c>
      <c r="B407" s="86">
        <v>1110500000</v>
      </c>
      <c r="C407" s="86"/>
      <c r="D407" s="59" t="s">
        <v>208</v>
      </c>
      <c r="E407" s="16">
        <f>E411+E408+E414</f>
        <v>24408.399999999998</v>
      </c>
      <c r="F407" s="16">
        <f t="shared" ref="F407:G407" si="146">F411+F408+F414</f>
        <v>0</v>
      </c>
      <c r="G407" s="16">
        <f t="shared" si="146"/>
        <v>0</v>
      </c>
    </row>
    <row r="408" spans="1:7" ht="47.25">
      <c r="A408" s="86" t="s">
        <v>54</v>
      </c>
      <c r="B408" s="86">
        <v>1110510440</v>
      </c>
      <c r="C408" s="86"/>
      <c r="D408" s="87" t="s">
        <v>389</v>
      </c>
      <c r="E408" s="21">
        <f>E409</f>
        <v>17356.399999999998</v>
      </c>
      <c r="F408" s="21">
        <f t="shared" ref="F408:G409" si="147">F409</f>
        <v>0</v>
      </c>
      <c r="G408" s="21">
        <f t="shared" si="147"/>
        <v>0</v>
      </c>
    </row>
    <row r="409" spans="1:7" ht="31.5">
      <c r="A409" s="86" t="s">
        <v>54</v>
      </c>
      <c r="B409" s="86">
        <v>1110510440</v>
      </c>
      <c r="C409" s="88" t="s">
        <v>104</v>
      </c>
      <c r="D409" s="87" t="s">
        <v>105</v>
      </c>
      <c r="E409" s="21">
        <f>E410</f>
        <v>17356.399999999998</v>
      </c>
      <c r="F409" s="21">
        <f t="shared" si="147"/>
        <v>0</v>
      </c>
      <c r="G409" s="21">
        <f t="shared" si="147"/>
        <v>0</v>
      </c>
    </row>
    <row r="410" spans="1:7">
      <c r="A410" s="86" t="s">
        <v>54</v>
      </c>
      <c r="B410" s="86">
        <v>1110510440</v>
      </c>
      <c r="C410" s="86">
        <v>610</v>
      </c>
      <c r="D410" s="87" t="s">
        <v>115</v>
      </c>
      <c r="E410" s="21">
        <f>'№ 5'!F675</f>
        <v>17356.399999999998</v>
      </c>
      <c r="F410" s="21">
        <f>'№ 5'!G675</f>
        <v>0</v>
      </c>
      <c r="G410" s="21">
        <f>'№ 5'!H675</f>
        <v>0</v>
      </c>
    </row>
    <row r="411" spans="1:7" ht="31.5">
      <c r="A411" s="86" t="s">
        <v>54</v>
      </c>
      <c r="B411" s="86" t="s">
        <v>209</v>
      </c>
      <c r="C411" s="86"/>
      <c r="D411" s="87" t="s">
        <v>276</v>
      </c>
      <c r="E411" s="16">
        <f>E412</f>
        <v>5695.8</v>
      </c>
      <c r="F411" s="16">
        <f t="shared" ref="F411:G412" si="148">F412</f>
        <v>0</v>
      </c>
      <c r="G411" s="16">
        <f t="shared" si="148"/>
        <v>0</v>
      </c>
    </row>
    <row r="412" spans="1:7" ht="31.5">
      <c r="A412" s="86" t="s">
        <v>54</v>
      </c>
      <c r="B412" s="86" t="s">
        <v>209</v>
      </c>
      <c r="C412" s="88" t="s">
        <v>104</v>
      </c>
      <c r="D412" s="87" t="s">
        <v>105</v>
      </c>
      <c r="E412" s="16">
        <f>E413</f>
        <v>5695.8</v>
      </c>
      <c r="F412" s="16">
        <f t="shared" si="148"/>
        <v>0</v>
      </c>
      <c r="G412" s="16">
        <f t="shared" si="148"/>
        <v>0</v>
      </c>
    </row>
    <row r="413" spans="1:7">
      <c r="A413" s="86" t="s">
        <v>54</v>
      </c>
      <c r="B413" s="86" t="s">
        <v>209</v>
      </c>
      <c r="C413" s="86">
        <v>610</v>
      </c>
      <c r="D413" s="87" t="s">
        <v>115</v>
      </c>
      <c r="E413" s="16">
        <f>'№ 5'!F678</f>
        <v>5695.8</v>
      </c>
      <c r="F413" s="16">
        <f>'№ 5'!G678</f>
        <v>0</v>
      </c>
      <c r="G413" s="16">
        <f>'№ 5'!H678</f>
        <v>0</v>
      </c>
    </row>
    <row r="414" spans="1:7" ht="31.5">
      <c r="A414" s="86" t="s">
        <v>54</v>
      </c>
      <c r="B414" s="10" t="s">
        <v>383</v>
      </c>
      <c r="C414" s="86"/>
      <c r="D414" s="66" t="s">
        <v>350</v>
      </c>
      <c r="E414" s="16">
        <f>E415</f>
        <v>1356.2</v>
      </c>
      <c r="F414" s="16">
        <f t="shared" ref="F414:G415" si="149">F415</f>
        <v>0</v>
      </c>
      <c r="G414" s="16">
        <f t="shared" si="149"/>
        <v>0</v>
      </c>
    </row>
    <row r="415" spans="1:7" ht="31.5">
      <c r="A415" s="86" t="s">
        <v>54</v>
      </c>
      <c r="B415" s="10" t="s">
        <v>383</v>
      </c>
      <c r="C415" s="88" t="s">
        <v>104</v>
      </c>
      <c r="D415" s="87" t="s">
        <v>105</v>
      </c>
      <c r="E415" s="16">
        <f>E416</f>
        <v>1356.2</v>
      </c>
      <c r="F415" s="16">
        <f t="shared" si="149"/>
        <v>0</v>
      </c>
      <c r="G415" s="16">
        <f t="shared" si="149"/>
        <v>0</v>
      </c>
    </row>
    <row r="416" spans="1:7">
      <c r="A416" s="86" t="s">
        <v>54</v>
      </c>
      <c r="B416" s="10" t="s">
        <v>383</v>
      </c>
      <c r="C416" s="86">
        <v>610</v>
      </c>
      <c r="D416" s="87" t="s">
        <v>115</v>
      </c>
      <c r="E416" s="16">
        <f>'№ 5'!F681</f>
        <v>1356.2</v>
      </c>
      <c r="F416" s="16">
        <f>'№ 5'!G681</f>
        <v>0</v>
      </c>
      <c r="G416" s="16">
        <f>'№ 5'!H681</f>
        <v>0</v>
      </c>
    </row>
    <row r="417" spans="1:7" ht="63">
      <c r="A417" s="128" t="s">
        <v>54</v>
      </c>
      <c r="B417" s="128">
        <v>1110600000</v>
      </c>
      <c r="C417" s="128"/>
      <c r="D417" s="66" t="s">
        <v>477</v>
      </c>
      <c r="E417" s="21">
        <f>E418</f>
        <v>100.7</v>
      </c>
      <c r="F417" s="21">
        <f t="shared" ref="F417:G419" si="150">F418</f>
        <v>0</v>
      </c>
      <c r="G417" s="21">
        <f t="shared" si="150"/>
        <v>0</v>
      </c>
    </row>
    <row r="418" spans="1:7" ht="31.5">
      <c r="A418" s="128" t="s">
        <v>54</v>
      </c>
      <c r="B418" s="128">
        <v>1110620030</v>
      </c>
      <c r="C418" s="128"/>
      <c r="D418" s="66" t="s">
        <v>476</v>
      </c>
      <c r="E418" s="21">
        <f>E419</f>
        <v>100.7</v>
      </c>
      <c r="F418" s="21">
        <f t="shared" si="150"/>
        <v>0</v>
      </c>
      <c r="G418" s="21">
        <f t="shared" si="150"/>
        <v>0</v>
      </c>
    </row>
    <row r="419" spans="1:7" ht="31.5">
      <c r="A419" s="128" t="s">
        <v>54</v>
      </c>
      <c r="B419" s="128">
        <v>1110620030</v>
      </c>
      <c r="C419" s="130" t="s">
        <v>104</v>
      </c>
      <c r="D419" s="129" t="s">
        <v>105</v>
      </c>
      <c r="E419" s="21">
        <f>E420</f>
        <v>100.7</v>
      </c>
      <c r="F419" s="21">
        <f t="shared" si="150"/>
        <v>0</v>
      </c>
      <c r="G419" s="21">
        <f t="shared" si="150"/>
        <v>0</v>
      </c>
    </row>
    <row r="420" spans="1:7">
      <c r="A420" s="128" t="s">
        <v>54</v>
      </c>
      <c r="B420" s="128">
        <v>1110620030</v>
      </c>
      <c r="C420" s="128">
        <v>610</v>
      </c>
      <c r="D420" s="129" t="s">
        <v>115</v>
      </c>
      <c r="E420" s="21">
        <f>'№ 5'!F685</f>
        <v>100.7</v>
      </c>
      <c r="F420" s="21">
        <f>'№ 5'!G685</f>
        <v>0</v>
      </c>
      <c r="G420" s="21">
        <f>'№ 5'!H685</f>
        <v>0</v>
      </c>
    </row>
    <row r="421" spans="1:7">
      <c r="A421" s="86" t="s">
        <v>54</v>
      </c>
      <c r="B421" s="86">
        <v>1120000000</v>
      </c>
      <c r="C421" s="86"/>
      <c r="D421" s="87" t="s">
        <v>133</v>
      </c>
      <c r="E421" s="16">
        <f>E422</f>
        <v>3790.2</v>
      </c>
      <c r="F421" s="16">
        <f t="shared" ref="F421:G424" si="151">F422</f>
        <v>3750.2</v>
      </c>
      <c r="G421" s="16">
        <f t="shared" si="151"/>
        <v>3750.2</v>
      </c>
    </row>
    <row r="422" spans="1:7" ht="47.25">
      <c r="A422" s="86" t="s">
        <v>54</v>
      </c>
      <c r="B422" s="86">
        <v>1120100000</v>
      </c>
      <c r="C422" s="86"/>
      <c r="D422" s="87" t="s">
        <v>134</v>
      </c>
      <c r="E422" s="16">
        <f>E423</f>
        <v>3790.2</v>
      </c>
      <c r="F422" s="16">
        <f t="shared" si="151"/>
        <v>3750.2</v>
      </c>
      <c r="G422" s="16">
        <f t="shared" si="151"/>
        <v>3750.2</v>
      </c>
    </row>
    <row r="423" spans="1:7" ht="31.5">
      <c r="A423" s="86" t="s">
        <v>54</v>
      </c>
      <c r="B423" s="86">
        <v>1120120010</v>
      </c>
      <c r="C423" s="86"/>
      <c r="D423" s="87" t="s">
        <v>135</v>
      </c>
      <c r="E423" s="16">
        <f>E424</f>
        <v>3790.2</v>
      </c>
      <c r="F423" s="16">
        <f t="shared" si="151"/>
        <v>3750.2</v>
      </c>
      <c r="G423" s="16">
        <f t="shared" si="151"/>
        <v>3750.2</v>
      </c>
    </row>
    <row r="424" spans="1:7" ht="31.5">
      <c r="A424" s="86" t="s">
        <v>54</v>
      </c>
      <c r="B424" s="86">
        <v>1120120010</v>
      </c>
      <c r="C424" s="88" t="s">
        <v>104</v>
      </c>
      <c r="D424" s="87" t="s">
        <v>105</v>
      </c>
      <c r="E424" s="16">
        <f>E425</f>
        <v>3790.2</v>
      </c>
      <c r="F424" s="16">
        <f t="shared" si="151"/>
        <v>3750.2</v>
      </c>
      <c r="G424" s="16">
        <f t="shared" si="151"/>
        <v>3750.2</v>
      </c>
    </row>
    <row r="425" spans="1:7">
      <c r="A425" s="86" t="s">
        <v>54</v>
      </c>
      <c r="B425" s="86">
        <v>1120120010</v>
      </c>
      <c r="C425" s="86">
        <v>610</v>
      </c>
      <c r="D425" s="87" t="s">
        <v>115</v>
      </c>
      <c r="E425" s="16">
        <f>'№ 5'!F690</f>
        <v>3790.2</v>
      </c>
      <c r="F425" s="16">
        <f>'№ 5'!G690</f>
        <v>3750.2</v>
      </c>
      <c r="G425" s="16">
        <f>'№ 5'!H690</f>
        <v>3750.2</v>
      </c>
    </row>
    <row r="426" spans="1:7" ht="31.5">
      <c r="A426" s="86" t="s">
        <v>54</v>
      </c>
      <c r="B426" s="86">
        <v>1130000000</v>
      </c>
      <c r="C426" s="86"/>
      <c r="D426" s="87" t="s">
        <v>126</v>
      </c>
      <c r="E426" s="16">
        <f>E427</f>
        <v>146.5</v>
      </c>
      <c r="F426" s="16">
        <f t="shared" ref="F426:G432" si="152">F427</f>
        <v>15.4</v>
      </c>
      <c r="G426" s="16">
        <f t="shared" si="152"/>
        <v>0</v>
      </c>
    </row>
    <row r="427" spans="1:7" ht="31.5">
      <c r="A427" s="86" t="s">
        <v>54</v>
      </c>
      <c r="B427" s="86">
        <v>1130100000</v>
      </c>
      <c r="C427" s="86"/>
      <c r="D427" s="87" t="s">
        <v>263</v>
      </c>
      <c r="E427" s="16">
        <f>E431+E428</f>
        <v>146.5</v>
      </c>
      <c r="F427" s="16">
        <f t="shared" ref="F427:G427" si="153">F431+F428</f>
        <v>15.4</v>
      </c>
      <c r="G427" s="16">
        <f t="shared" si="153"/>
        <v>0</v>
      </c>
    </row>
    <row r="428" spans="1:7" ht="31.5">
      <c r="A428" s="86" t="s">
        <v>54</v>
      </c>
      <c r="B428" s="88">
        <v>1130111080</v>
      </c>
      <c r="C428" s="86"/>
      <c r="D428" s="87" t="s">
        <v>379</v>
      </c>
      <c r="E428" s="21">
        <f>E429</f>
        <v>132.19999999999999</v>
      </c>
      <c r="F428" s="21">
        <f t="shared" ref="F428:G429" si="154">F429</f>
        <v>0</v>
      </c>
      <c r="G428" s="21">
        <f t="shared" si="154"/>
        <v>0</v>
      </c>
    </row>
    <row r="429" spans="1:7" ht="31.5">
      <c r="A429" s="86" t="s">
        <v>54</v>
      </c>
      <c r="B429" s="88">
        <v>1130111080</v>
      </c>
      <c r="C429" s="88" t="s">
        <v>104</v>
      </c>
      <c r="D429" s="87" t="s">
        <v>105</v>
      </c>
      <c r="E429" s="21">
        <f>E430</f>
        <v>132.19999999999999</v>
      </c>
      <c r="F429" s="21">
        <f t="shared" si="154"/>
        <v>0</v>
      </c>
      <c r="G429" s="21">
        <f t="shared" si="154"/>
        <v>0</v>
      </c>
    </row>
    <row r="430" spans="1:7">
      <c r="A430" s="86" t="s">
        <v>54</v>
      </c>
      <c r="B430" s="88">
        <v>1130111080</v>
      </c>
      <c r="C430" s="86">
        <v>610</v>
      </c>
      <c r="D430" s="87" t="s">
        <v>115</v>
      </c>
      <c r="E430" s="21">
        <f>'№ 5'!F695</f>
        <v>132.19999999999999</v>
      </c>
      <c r="F430" s="21">
        <f>'№ 5'!G695</f>
        <v>0</v>
      </c>
      <c r="G430" s="21">
        <f>'№ 5'!H695</f>
        <v>0</v>
      </c>
    </row>
    <row r="431" spans="1:7" ht="31.5">
      <c r="A431" s="86" t="s">
        <v>54</v>
      </c>
      <c r="B431" s="88" t="s">
        <v>326</v>
      </c>
      <c r="C431" s="86"/>
      <c r="D431" s="87" t="s">
        <v>327</v>
      </c>
      <c r="E431" s="16">
        <f>E432</f>
        <v>14.299999999999999</v>
      </c>
      <c r="F431" s="16">
        <f t="shared" si="152"/>
        <v>15.4</v>
      </c>
      <c r="G431" s="16">
        <f t="shared" si="152"/>
        <v>0</v>
      </c>
    </row>
    <row r="432" spans="1:7" ht="31.5">
      <c r="A432" s="86" t="s">
        <v>54</v>
      </c>
      <c r="B432" s="88" t="s">
        <v>326</v>
      </c>
      <c r="C432" s="88" t="s">
        <v>104</v>
      </c>
      <c r="D432" s="87" t="s">
        <v>105</v>
      </c>
      <c r="E432" s="16">
        <f>E433</f>
        <v>14.299999999999999</v>
      </c>
      <c r="F432" s="16">
        <f t="shared" si="152"/>
        <v>15.4</v>
      </c>
      <c r="G432" s="16">
        <f t="shared" si="152"/>
        <v>0</v>
      </c>
    </row>
    <row r="433" spans="1:7">
      <c r="A433" s="86" t="s">
        <v>54</v>
      </c>
      <c r="B433" s="88" t="s">
        <v>326</v>
      </c>
      <c r="C433" s="86">
        <v>610</v>
      </c>
      <c r="D433" s="87" t="s">
        <v>115</v>
      </c>
      <c r="E433" s="16">
        <f>'№ 5'!F698</f>
        <v>14.299999999999999</v>
      </c>
      <c r="F433" s="16">
        <f>'№ 5'!G698</f>
        <v>15.4</v>
      </c>
      <c r="G433" s="16">
        <f>'№ 5'!H698</f>
        <v>0</v>
      </c>
    </row>
    <row r="434" spans="1:7" ht="31.5">
      <c r="A434" s="86" t="s">
        <v>54</v>
      </c>
      <c r="B434" s="88">
        <v>1500000000</v>
      </c>
      <c r="C434" s="86"/>
      <c r="D434" s="66" t="s">
        <v>217</v>
      </c>
      <c r="E434" s="16">
        <f>E435</f>
        <v>563.4</v>
      </c>
      <c r="F434" s="16">
        <f t="shared" ref="F434:G441" si="155">F435</f>
        <v>0</v>
      </c>
      <c r="G434" s="16">
        <f t="shared" si="155"/>
        <v>0</v>
      </c>
    </row>
    <row r="435" spans="1:7" ht="31.5">
      <c r="A435" s="86" t="s">
        <v>54</v>
      </c>
      <c r="B435" s="88">
        <v>1520000000</v>
      </c>
      <c r="C435" s="86"/>
      <c r="D435" s="66" t="s">
        <v>360</v>
      </c>
      <c r="E435" s="16">
        <f>E436</f>
        <v>563.4</v>
      </c>
      <c r="F435" s="16">
        <f t="shared" si="155"/>
        <v>0</v>
      </c>
      <c r="G435" s="16">
        <f t="shared" si="155"/>
        <v>0</v>
      </c>
    </row>
    <row r="436" spans="1:7" ht="63">
      <c r="A436" s="86" t="s">
        <v>54</v>
      </c>
      <c r="B436" s="86">
        <v>1520100000</v>
      </c>
      <c r="C436" s="86"/>
      <c r="D436" s="66" t="s">
        <v>361</v>
      </c>
      <c r="E436" s="16">
        <f>E440+E437+E443</f>
        <v>563.4</v>
      </c>
      <c r="F436" s="16">
        <f t="shared" ref="F436:G436" si="156">F440+F437+F443</f>
        <v>0</v>
      </c>
      <c r="G436" s="16">
        <f t="shared" si="156"/>
        <v>0</v>
      </c>
    </row>
    <row r="437" spans="1:7" ht="47.25">
      <c r="A437" s="86" t="s">
        <v>54</v>
      </c>
      <c r="B437" s="86">
        <v>1520110440</v>
      </c>
      <c r="C437" s="86"/>
      <c r="D437" s="87" t="s">
        <v>389</v>
      </c>
      <c r="E437" s="21">
        <f>E438</f>
        <v>217.5</v>
      </c>
      <c r="F437" s="21">
        <f t="shared" ref="F437:G438" si="157">F438</f>
        <v>0</v>
      </c>
      <c r="G437" s="21">
        <f t="shared" si="157"/>
        <v>0</v>
      </c>
    </row>
    <row r="438" spans="1:7" ht="31.5">
      <c r="A438" s="86" t="s">
        <v>54</v>
      </c>
      <c r="B438" s="10" t="s">
        <v>388</v>
      </c>
      <c r="C438" s="88" t="s">
        <v>104</v>
      </c>
      <c r="D438" s="87" t="s">
        <v>105</v>
      </c>
      <c r="E438" s="21">
        <f>E439</f>
        <v>217.5</v>
      </c>
      <c r="F438" s="21">
        <f t="shared" si="157"/>
        <v>0</v>
      </c>
      <c r="G438" s="21">
        <f t="shared" si="157"/>
        <v>0</v>
      </c>
    </row>
    <row r="439" spans="1:7">
      <c r="A439" s="86" t="s">
        <v>54</v>
      </c>
      <c r="B439" s="10" t="s">
        <v>388</v>
      </c>
      <c r="C439" s="86">
        <v>610</v>
      </c>
      <c r="D439" s="87" t="s">
        <v>115</v>
      </c>
      <c r="E439" s="21">
        <f>'№ 5'!F704</f>
        <v>217.5</v>
      </c>
      <c r="F439" s="21">
        <f>'№ 5'!G704</f>
        <v>0</v>
      </c>
      <c r="G439" s="21">
        <f>'№ 5'!H704</f>
        <v>0</v>
      </c>
    </row>
    <row r="440" spans="1:7" ht="31.5">
      <c r="A440" s="86" t="s">
        <v>54</v>
      </c>
      <c r="B440" s="86" t="s">
        <v>362</v>
      </c>
      <c r="C440" s="86"/>
      <c r="D440" s="87" t="s">
        <v>276</v>
      </c>
      <c r="E440" s="16">
        <f>E441</f>
        <v>231.10000000000002</v>
      </c>
      <c r="F440" s="16">
        <f t="shared" si="155"/>
        <v>0</v>
      </c>
      <c r="G440" s="16">
        <f t="shared" si="155"/>
        <v>0</v>
      </c>
    </row>
    <row r="441" spans="1:7" ht="31.5">
      <c r="A441" s="86" t="s">
        <v>54</v>
      </c>
      <c r="B441" s="10" t="s">
        <v>362</v>
      </c>
      <c r="C441" s="88" t="s">
        <v>104</v>
      </c>
      <c r="D441" s="87" t="s">
        <v>105</v>
      </c>
      <c r="E441" s="16">
        <f>E442</f>
        <v>231.10000000000002</v>
      </c>
      <c r="F441" s="16">
        <f t="shared" si="155"/>
        <v>0</v>
      </c>
      <c r="G441" s="16">
        <f t="shared" si="155"/>
        <v>0</v>
      </c>
    </row>
    <row r="442" spans="1:7">
      <c r="A442" s="86" t="s">
        <v>54</v>
      </c>
      <c r="B442" s="10" t="s">
        <v>362</v>
      </c>
      <c r="C442" s="86">
        <v>610</v>
      </c>
      <c r="D442" s="87" t="s">
        <v>115</v>
      </c>
      <c r="E442" s="16">
        <f>'№ 5'!F707</f>
        <v>231.10000000000002</v>
      </c>
      <c r="F442" s="16">
        <f>'№ 5'!G707</f>
        <v>0</v>
      </c>
      <c r="G442" s="16">
        <f>'№ 5'!H707</f>
        <v>0</v>
      </c>
    </row>
    <row r="443" spans="1:7" ht="31.5">
      <c r="A443" s="128" t="s">
        <v>54</v>
      </c>
      <c r="B443" s="10" t="s">
        <v>480</v>
      </c>
      <c r="C443" s="128"/>
      <c r="D443" s="66" t="s">
        <v>481</v>
      </c>
      <c r="E443" s="16">
        <f>E444</f>
        <v>114.8</v>
      </c>
      <c r="F443" s="16">
        <f t="shared" ref="F443:G444" si="158">F444</f>
        <v>0</v>
      </c>
      <c r="G443" s="16">
        <f t="shared" si="158"/>
        <v>0</v>
      </c>
    </row>
    <row r="444" spans="1:7" ht="31.5">
      <c r="A444" s="128" t="s">
        <v>54</v>
      </c>
      <c r="B444" s="10" t="s">
        <v>480</v>
      </c>
      <c r="C444" s="130" t="s">
        <v>104</v>
      </c>
      <c r="D444" s="66" t="s">
        <v>105</v>
      </c>
      <c r="E444" s="16">
        <f>E445</f>
        <v>114.8</v>
      </c>
      <c r="F444" s="16">
        <f t="shared" si="158"/>
        <v>0</v>
      </c>
      <c r="G444" s="16">
        <f t="shared" si="158"/>
        <v>0</v>
      </c>
    </row>
    <row r="445" spans="1:7">
      <c r="A445" s="128" t="s">
        <v>54</v>
      </c>
      <c r="B445" s="10" t="s">
        <v>480</v>
      </c>
      <c r="C445" s="128">
        <v>610</v>
      </c>
      <c r="D445" s="66" t="s">
        <v>115</v>
      </c>
      <c r="E445" s="16">
        <f>'№ 5'!F710</f>
        <v>114.8</v>
      </c>
      <c r="F445" s="16">
        <f>'№ 5'!G710</f>
        <v>0</v>
      </c>
      <c r="G445" s="16">
        <f>'№ 5'!H710</f>
        <v>0</v>
      </c>
    </row>
    <row r="446" spans="1:7">
      <c r="A446" s="86" t="s">
        <v>54</v>
      </c>
      <c r="B446" s="86">
        <v>9900000000</v>
      </c>
      <c r="C446" s="86"/>
      <c r="D446" s="66" t="s">
        <v>116</v>
      </c>
      <c r="E446" s="16">
        <f>E447</f>
        <v>400.1</v>
      </c>
      <c r="F446" s="16">
        <f t="shared" ref="F446:G449" si="159">F447</f>
        <v>0</v>
      </c>
      <c r="G446" s="16">
        <f t="shared" si="159"/>
        <v>0</v>
      </c>
    </row>
    <row r="447" spans="1:7" ht="47.25">
      <c r="A447" s="86" t="s">
        <v>54</v>
      </c>
      <c r="B447" s="86">
        <v>9920000000</v>
      </c>
      <c r="C447" s="86"/>
      <c r="D447" s="66" t="s">
        <v>408</v>
      </c>
      <c r="E447" s="16">
        <f>E448</f>
        <v>400.1</v>
      </c>
      <c r="F447" s="16">
        <f t="shared" si="159"/>
        <v>0</v>
      </c>
      <c r="G447" s="16">
        <f t="shared" si="159"/>
        <v>0</v>
      </c>
    </row>
    <row r="448" spans="1:7" ht="47.25">
      <c r="A448" s="86" t="s">
        <v>54</v>
      </c>
      <c r="B448" s="86">
        <v>9920010920</v>
      </c>
      <c r="C448" s="86"/>
      <c r="D448" s="66" t="s">
        <v>409</v>
      </c>
      <c r="E448" s="16">
        <f>E449</f>
        <v>400.1</v>
      </c>
      <c r="F448" s="16">
        <f t="shared" si="159"/>
        <v>0</v>
      </c>
      <c r="G448" s="16">
        <f t="shared" si="159"/>
        <v>0</v>
      </c>
    </row>
    <row r="449" spans="1:7" ht="31.5">
      <c r="A449" s="86" t="s">
        <v>54</v>
      </c>
      <c r="B449" s="86">
        <v>9920010920</v>
      </c>
      <c r="C449" s="88" t="s">
        <v>104</v>
      </c>
      <c r="D449" s="66" t="s">
        <v>105</v>
      </c>
      <c r="E449" s="16">
        <f>E450</f>
        <v>400.1</v>
      </c>
      <c r="F449" s="16">
        <f t="shared" si="159"/>
        <v>0</v>
      </c>
      <c r="G449" s="16">
        <f t="shared" si="159"/>
        <v>0</v>
      </c>
    </row>
    <row r="450" spans="1:7">
      <c r="A450" s="86" t="s">
        <v>54</v>
      </c>
      <c r="B450" s="86">
        <v>9920010920</v>
      </c>
      <c r="C450" s="86">
        <v>610</v>
      </c>
      <c r="D450" s="66" t="s">
        <v>115</v>
      </c>
      <c r="E450" s="16">
        <f>'№ 5'!F715</f>
        <v>400.1</v>
      </c>
      <c r="F450" s="16">
        <f>'№ 5'!G715</f>
        <v>0</v>
      </c>
      <c r="G450" s="16">
        <f>'№ 5'!H715</f>
        <v>0</v>
      </c>
    </row>
    <row r="451" spans="1:7">
      <c r="A451" s="86" t="s">
        <v>97</v>
      </c>
      <c r="B451" s="86" t="s">
        <v>69</v>
      </c>
      <c r="C451" s="86" t="s">
        <v>69</v>
      </c>
      <c r="D451" s="59" t="s">
        <v>98</v>
      </c>
      <c r="E451" s="16">
        <f>E452+E470</f>
        <v>46823</v>
      </c>
      <c r="F451" s="16">
        <f t="shared" ref="F451:G451" si="160">F452+F470</f>
        <v>37064.199999999997</v>
      </c>
      <c r="G451" s="16">
        <f t="shared" si="160"/>
        <v>37064.199999999997</v>
      </c>
    </row>
    <row r="452" spans="1:7" ht="47.25">
      <c r="A452" s="86" t="s">
        <v>97</v>
      </c>
      <c r="B452" s="88">
        <v>1100000000</v>
      </c>
      <c r="C452" s="86"/>
      <c r="D452" s="87" t="s">
        <v>221</v>
      </c>
      <c r="E452" s="16">
        <f t="shared" ref="E452:G462" si="161">E453</f>
        <v>46623</v>
      </c>
      <c r="F452" s="16">
        <f t="shared" si="161"/>
        <v>37064.199999999997</v>
      </c>
      <c r="G452" s="16">
        <f t="shared" si="161"/>
        <v>37064.199999999997</v>
      </c>
    </row>
    <row r="453" spans="1:7">
      <c r="A453" s="86" t="s">
        <v>97</v>
      </c>
      <c r="B453" s="86">
        <v>1120000000</v>
      </c>
      <c r="C453" s="86"/>
      <c r="D453" s="87" t="s">
        <v>133</v>
      </c>
      <c r="E453" s="16">
        <f>E454</f>
        <v>46623</v>
      </c>
      <c r="F453" s="16">
        <f t="shared" si="161"/>
        <v>37064.199999999997</v>
      </c>
      <c r="G453" s="16">
        <f t="shared" si="161"/>
        <v>37064.199999999997</v>
      </c>
    </row>
    <row r="454" spans="1:7" ht="47.25">
      <c r="A454" s="86" t="s">
        <v>97</v>
      </c>
      <c r="B454" s="86">
        <v>1120100000</v>
      </c>
      <c r="C454" s="86"/>
      <c r="D454" s="87" t="s">
        <v>134</v>
      </c>
      <c r="E454" s="16">
        <f>E461+E455+E464+E458+E467</f>
        <v>46623</v>
      </c>
      <c r="F454" s="16">
        <f t="shared" ref="F454:G454" si="162">F461+F455+F464+F458+F467</f>
        <v>37064.199999999997</v>
      </c>
      <c r="G454" s="16">
        <f t="shared" si="162"/>
        <v>37064.199999999997</v>
      </c>
    </row>
    <row r="455" spans="1:7" ht="47.25">
      <c r="A455" s="86" t="s">
        <v>97</v>
      </c>
      <c r="B455" s="86">
        <v>1120110690</v>
      </c>
      <c r="C455" s="86"/>
      <c r="D455" s="66" t="s">
        <v>404</v>
      </c>
      <c r="E455" s="16">
        <f>E456</f>
        <v>8403.5</v>
      </c>
      <c r="F455" s="16">
        <f t="shared" ref="F455:G456" si="163">F456</f>
        <v>0</v>
      </c>
      <c r="G455" s="16">
        <f t="shared" si="163"/>
        <v>0</v>
      </c>
    </row>
    <row r="456" spans="1:7" ht="31.5">
      <c r="A456" s="86" t="s">
        <v>97</v>
      </c>
      <c r="B456" s="86">
        <v>1120110690</v>
      </c>
      <c r="C456" s="88" t="s">
        <v>104</v>
      </c>
      <c r="D456" s="66" t="s">
        <v>105</v>
      </c>
      <c r="E456" s="16">
        <f>E457</f>
        <v>8403.5</v>
      </c>
      <c r="F456" s="16">
        <f t="shared" si="163"/>
        <v>0</v>
      </c>
      <c r="G456" s="16">
        <f t="shared" si="163"/>
        <v>0</v>
      </c>
    </row>
    <row r="457" spans="1:7">
      <c r="A457" s="86" t="s">
        <v>97</v>
      </c>
      <c r="B457" s="86">
        <v>1120110690</v>
      </c>
      <c r="C457" s="86">
        <v>610</v>
      </c>
      <c r="D457" s="66" t="s">
        <v>115</v>
      </c>
      <c r="E457" s="16">
        <f>'№ 5'!F307+'№ 5'!F722</f>
        <v>8403.5</v>
      </c>
      <c r="F457" s="16">
        <f>'№ 5'!G307+'№ 5'!G722</f>
        <v>0</v>
      </c>
      <c r="G457" s="16">
        <f>'№ 5'!H307+'№ 5'!H722</f>
        <v>0</v>
      </c>
    </row>
    <row r="458" spans="1:7" ht="63">
      <c r="A458" s="86" t="s">
        <v>97</v>
      </c>
      <c r="B458" s="10" t="s">
        <v>415</v>
      </c>
      <c r="C458" s="11"/>
      <c r="D458" s="8" t="s">
        <v>416</v>
      </c>
      <c r="E458" s="16">
        <f>E459</f>
        <v>1395.5</v>
      </c>
      <c r="F458" s="16">
        <f t="shared" ref="F458:G459" si="164">F459</f>
        <v>0</v>
      </c>
      <c r="G458" s="16">
        <f t="shared" si="164"/>
        <v>0</v>
      </c>
    </row>
    <row r="459" spans="1:7" ht="31.5">
      <c r="A459" s="86" t="s">
        <v>97</v>
      </c>
      <c r="B459" s="10" t="s">
        <v>415</v>
      </c>
      <c r="C459" s="88" t="s">
        <v>104</v>
      </c>
      <c r="D459" s="66" t="s">
        <v>105</v>
      </c>
      <c r="E459" s="16">
        <f>E460</f>
        <v>1395.5</v>
      </c>
      <c r="F459" s="16">
        <f t="shared" si="164"/>
        <v>0</v>
      </c>
      <c r="G459" s="16">
        <f t="shared" si="164"/>
        <v>0</v>
      </c>
    </row>
    <row r="460" spans="1:7">
      <c r="A460" s="86" t="s">
        <v>97</v>
      </c>
      <c r="B460" s="10" t="s">
        <v>415</v>
      </c>
      <c r="C460" s="86">
        <v>610</v>
      </c>
      <c r="D460" s="66" t="s">
        <v>115</v>
      </c>
      <c r="E460" s="16">
        <f>'№ 5'!F725+'№ 5'!F310</f>
        <v>1395.5</v>
      </c>
      <c r="F460" s="16">
        <f>'№ 5'!G725+'№ 5'!G310</f>
        <v>0</v>
      </c>
      <c r="G460" s="16">
        <f>'№ 5'!H725+'№ 5'!H310</f>
        <v>0</v>
      </c>
    </row>
    <row r="461" spans="1:7" ht="31.5">
      <c r="A461" s="86" t="s">
        <v>97</v>
      </c>
      <c r="B461" s="86">
        <v>1120120010</v>
      </c>
      <c r="C461" s="86"/>
      <c r="D461" s="87" t="s">
        <v>135</v>
      </c>
      <c r="E461" s="16">
        <f t="shared" si="161"/>
        <v>36725.9</v>
      </c>
      <c r="F461" s="16">
        <f t="shared" si="161"/>
        <v>37064.199999999997</v>
      </c>
      <c r="G461" s="16">
        <f t="shared" si="161"/>
        <v>37064.199999999997</v>
      </c>
    </row>
    <row r="462" spans="1:7" ht="31.5">
      <c r="A462" s="86" t="s">
        <v>97</v>
      </c>
      <c r="B462" s="86">
        <v>1120120010</v>
      </c>
      <c r="C462" s="88" t="s">
        <v>104</v>
      </c>
      <c r="D462" s="87" t="s">
        <v>105</v>
      </c>
      <c r="E462" s="16">
        <f t="shared" si="161"/>
        <v>36725.9</v>
      </c>
      <c r="F462" s="16">
        <f t="shared" si="161"/>
        <v>37064.199999999997</v>
      </c>
      <c r="G462" s="16">
        <f t="shared" si="161"/>
        <v>37064.199999999997</v>
      </c>
    </row>
    <row r="463" spans="1:7">
      <c r="A463" s="86" t="s">
        <v>97</v>
      </c>
      <c r="B463" s="86">
        <v>1120120010</v>
      </c>
      <c r="C463" s="86">
        <v>610</v>
      </c>
      <c r="D463" s="87" t="s">
        <v>115</v>
      </c>
      <c r="E463" s="16">
        <f>'№ 5'!F728+'№ 5'!F313</f>
        <v>36725.9</v>
      </c>
      <c r="F463" s="16">
        <f>'№ 5'!G728+'№ 5'!G313</f>
        <v>37064.199999999997</v>
      </c>
      <c r="G463" s="16">
        <f>'№ 5'!H728+'№ 5'!H313</f>
        <v>37064.199999999997</v>
      </c>
    </row>
    <row r="464" spans="1:7" ht="47.25">
      <c r="A464" s="86" t="s">
        <v>97</v>
      </c>
      <c r="B464" s="86" t="s">
        <v>405</v>
      </c>
      <c r="C464" s="86"/>
      <c r="D464" s="66" t="s">
        <v>406</v>
      </c>
      <c r="E464" s="16">
        <f>E465</f>
        <v>84</v>
      </c>
      <c r="F464" s="16">
        <f t="shared" ref="F464:G465" si="165">F465</f>
        <v>0</v>
      </c>
      <c r="G464" s="16">
        <f t="shared" si="165"/>
        <v>0</v>
      </c>
    </row>
    <row r="465" spans="1:7" ht="31.5">
      <c r="A465" s="86" t="s">
        <v>97</v>
      </c>
      <c r="B465" s="86" t="s">
        <v>405</v>
      </c>
      <c r="C465" s="88" t="s">
        <v>104</v>
      </c>
      <c r="D465" s="66" t="s">
        <v>105</v>
      </c>
      <c r="E465" s="16">
        <f>E466</f>
        <v>84</v>
      </c>
      <c r="F465" s="16">
        <f t="shared" si="165"/>
        <v>0</v>
      </c>
      <c r="G465" s="16">
        <f t="shared" si="165"/>
        <v>0</v>
      </c>
    </row>
    <row r="466" spans="1:7">
      <c r="A466" s="86" t="s">
        <v>97</v>
      </c>
      <c r="B466" s="86" t="s">
        <v>405</v>
      </c>
      <c r="C466" s="86">
        <v>610</v>
      </c>
      <c r="D466" s="66" t="s">
        <v>115</v>
      </c>
      <c r="E466" s="16">
        <f>'№ 5'!F731+'№ 5'!F316</f>
        <v>84</v>
      </c>
      <c r="F466" s="16">
        <f>'№ 5'!G731+'№ 5'!G316</f>
        <v>0</v>
      </c>
      <c r="G466" s="16">
        <f>'№ 5'!H731+'№ 5'!H316</f>
        <v>0</v>
      </c>
    </row>
    <row r="467" spans="1:7" ht="63">
      <c r="A467" s="86" t="s">
        <v>97</v>
      </c>
      <c r="B467" s="10" t="s">
        <v>418</v>
      </c>
      <c r="C467" s="11"/>
      <c r="D467" s="8" t="s">
        <v>417</v>
      </c>
      <c r="E467" s="16">
        <f>E468</f>
        <v>14.1</v>
      </c>
      <c r="F467" s="16">
        <f t="shared" ref="F467:G468" si="166">F468</f>
        <v>0</v>
      </c>
      <c r="G467" s="16">
        <f t="shared" si="166"/>
        <v>0</v>
      </c>
    </row>
    <row r="468" spans="1:7" ht="31.5">
      <c r="A468" s="86" t="s">
        <v>97</v>
      </c>
      <c r="B468" s="10" t="s">
        <v>418</v>
      </c>
      <c r="C468" s="88" t="s">
        <v>104</v>
      </c>
      <c r="D468" s="66" t="s">
        <v>105</v>
      </c>
      <c r="E468" s="16">
        <f>E469</f>
        <v>14.1</v>
      </c>
      <c r="F468" s="16">
        <f t="shared" si="166"/>
        <v>0</v>
      </c>
      <c r="G468" s="16">
        <f t="shared" si="166"/>
        <v>0</v>
      </c>
    </row>
    <row r="469" spans="1:7">
      <c r="A469" s="86" t="s">
        <v>97</v>
      </c>
      <c r="B469" s="10" t="s">
        <v>418</v>
      </c>
      <c r="C469" s="86">
        <v>610</v>
      </c>
      <c r="D469" s="66" t="s">
        <v>115</v>
      </c>
      <c r="E469" s="16">
        <f>'№ 5'!F319+'№ 5'!F734</f>
        <v>14.1</v>
      </c>
      <c r="F469" s="16">
        <f>'№ 5'!G319+'№ 5'!G734</f>
        <v>0</v>
      </c>
      <c r="G469" s="16">
        <f>'№ 5'!H319+'№ 5'!H734</f>
        <v>0</v>
      </c>
    </row>
    <row r="470" spans="1:7">
      <c r="A470" s="86" t="s">
        <v>97</v>
      </c>
      <c r="B470" s="86">
        <v>9900000000</v>
      </c>
      <c r="C470" s="86"/>
      <c r="D470" s="66" t="s">
        <v>116</v>
      </c>
      <c r="E470" s="16">
        <f>E471</f>
        <v>200</v>
      </c>
      <c r="F470" s="16">
        <f t="shared" ref="F470:G473" si="167">F471</f>
        <v>0</v>
      </c>
      <c r="G470" s="16">
        <f t="shared" si="167"/>
        <v>0</v>
      </c>
    </row>
    <row r="471" spans="1:7" ht="47.25">
      <c r="A471" s="86" t="s">
        <v>97</v>
      </c>
      <c r="B471" s="86">
        <v>9920000000</v>
      </c>
      <c r="C471" s="86"/>
      <c r="D471" s="66" t="s">
        <v>408</v>
      </c>
      <c r="E471" s="16">
        <f>E472</f>
        <v>200</v>
      </c>
      <c r="F471" s="16">
        <f t="shared" si="167"/>
        <v>0</v>
      </c>
      <c r="G471" s="16">
        <f t="shared" si="167"/>
        <v>0</v>
      </c>
    </row>
    <row r="472" spans="1:7" ht="47.25">
      <c r="A472" s="86" t="s">
        <v>97</v>
      </c>
      <c r="B472" s="86">
        <v>9920010920</v>
      </c>
      <c r="C472" s="86"/>
      <c r="D472" s="66" t="s">
        <v>409</v>
      </c>
      <c r="E472" s="16">
        <f>E473</f>
        <v>200</v>
      </c>
      <c r="F472" s="16">
        <f t="shared" si="167"/>
        <v>0</v>
      </c>
      <c r="G472" s="16">
        <f t="shared" si="167"/>
        <v>0</v>
      </c>
    </row>
    <row r="473" spans="1:7" ht="31.5">
      <c r="A473" s="86" t="s">
        <v>97</v>
      </c>
      <c r="B473" s="86">
        <v>9920010920</v>
      </c>
      <c r="C473" s="88" t="s">
        <v>104</v>
      </c>
      <c r="D473" s="66" t="s">
        <v>105</v>
      </c>
      <c r="E473" s="16">
        <f>E474</f>
        <v>200</v>
      </c>
      <c r="F473" s="16">
        <f t="shared" si="167"/>
        <v>0</v>
      </c>
      <c r="G473" s="16">
        <f t="shared" si="167"/>
        <v>0</v>
      </c>
    </row>
    <row r="474" spans="1:7">
      <c r="A474" s="86" t="s">
        <v>97</v>
      </c>
      <c r="B474" s="86">
        <v>9920010920</v>
      </c>
      <c r="C474" s="86">
        <v>610</v>
      </c>
      <c r="D474" s="66" t="s">
        <v>115</v>
      </c>
      <c r="E474" s="16">
        <f>'№ 5'!F739+'№ 5'!F324</f>
        <v>200</v>
      </c>
      <c r="F474" s="16">
        <v>0</v>
      </c>
      <c r="G474" s="16">
        <v>0</v>
      </c>
    </row>
    <row r="475" spans="1:7" ht="31.5">
      <c r="A475" s="22" t="s">
        <v>249</v>
      </c>
      <c r="B475" s="86"/>
      <c r="C475" s="86"/>
      <c r="D475" s="90" t="s">
        <v>320</v>
      </c>
      <c r="E475" s="16">
        <f t="shared" ref="E475:G480" si="168">E476</f>
        <v>157.19999999999999</v>
      </c>
      <c r="F475" s="16">
        <f t="shared" si="168"/>
        <v>479</v>
      </c>
      <c r="G475" s="16">
        <f t="shared" si="168"/>
        <v>0</v>
      </c>
    </row>
    <row r="476" spans="1:7" ht="47.25">
      <c r="A476" s="22" t="s">
        <v>249</v>
      </c>
      <c r="B476" s="88">
        <v>1600000000</v>
      </c>
      <c r="C476" s="88"/>
      <c r="D476" s="87" t="s">
        <v>125</v>
      </c>
      <c r="E476" s="16">
        <f t="shared" si="168"/>
        <v>157.19999999999999</v>
      </c>
      <c r="F476" s="16">
        <f t="shared" si="168"/>
        <v>479</v>
      </c>
      <c r="G476" s="16">
        <f t="shared" si="168"/>
        <v>0</v>
      </c>
    </row>
    <row r="477" spans="1:7" ht="47.25">
      <c r="A477" s="22" t="s">
        <v>249</v>
      </c>
      <c r="B477" s="88">
        <v>1640000000</v>
      </c>
      <c r="C477" s="1"/>
      <c r="D477" s="60" t="s">
        <v>251</v>
      </c>
      <c r="E477" s="16">
        <f t="shared" si="168"/>
        <v>157.19999999999999</v>
      </c>
      <c r="F477" s="16">
        <f t="shared" si="168"/>
        <v>479</v>
      </c>
      <c r="G477" s="16">
        <f t="shared" si="168"/>
        <v>0</v>
      </c>
    </row>
    <row r="478" spans="1:7" ht="31.5">
      <c r="A478" s="22" t="s">
        <v>249</v>
      </c>
      <c r="B478" s="88">
        <v>1640100000</v>
      </c>
      <c r="C478" s="86"/>
      <c r="D478" s="87" t="s">
        <v>253</v>
      </c>
      <c r="E478" s="16">
        <f t="shared" si="168"/>
        <v>157.19999999999999</v>
      </c>
      <c r="F478" s="16">
        <f t="shared" si="168"/>
        <v>479</v>
      </c>
      <c r="G478" s="16">
        <f t="shared" si="168"/>
        <v>0</v>
      </c>
    </row>
    <row r="479" spans="1:7">
      <c r="A479" s="22" t="s">
        <v>249</v>
      </c>
      <c r="B479" s="88">
        <v>1640120510</v>
      </c>
      <c r="C479" s="86"/>
      <c r="D479" s="87" t="s">
        <v>255</v>
      </c>
      <c r="E479" s="16">
        <f t="shared" si="168"/>
        <v>157.19999999999999</v>
      </c>
      <c r="F479" s="16">
        <f t="shared" si="168"/>
        <v>479</v>
      </c>
      <c r="G479" s="16">
        <f t="shared" si="168"/>
        <v>0</v>
      </c>
    </row>
    <row r="480" spans="1:7" ht="31.5">
      <c r="A480" s="22" t="s">
        <v>249</v>
      </c>
      <c r="B480" s="88">
        <v>1640120510</v>
      </c>
      <c r="C480" s="88" t="s">
        <v>72</v>
      </c>
      <c r="D480" s="87" t="s">
        <v>102</v>
      </c>
      <c r="E480" s="16">
        <f t="shared" si="168"/>
        <v>157.19999999999999</v>
      </c>
      <c r="F480" s="16">
        <f t="shared" si="168"/>
        <v>479</v>
      </c>
      <c r="G480" s="16">
        <f t="shared" si="168"/>
        <v>0</v>
      </c>
    </row>
    <row r="481" spans="1:7" ht="31.5">
      <c r="A481" s="22" t="s">
        <v>249</v>
      </c>
      <c r="B481" s="88">
        <v>1640120510</v>
      </c>
      <c r="C481" s="86">
        <v>240</v>
      </c>
      <c r="D481" s="87" t="s">
        <v>315</v>
      </c>
      <c r="E481" s="16">
        <f>'№ 5'!F331</f>
        <v>157.19999999999999</v>
      </c>
      <c r="F481" s="16">
        <f>'№ 5'!G331</f>
        <v>479</v>
      </c>
      <c r="G481" s="16">
        <f>'№ 5'!H331</f>
        <v>0</v>
      </c>
    </row>
    <row r="482" spans="1:7">
      <c r="A482" s="86" t="s">
        <v>40</v>
      </c>
      <c r="B482" s="86" t="s">
        <v>69</v>
      </c>
      <c r="C482" s="86" t="s">
        <v>69</v>
      </c>
      <c r="D482" s="59" t="s">
        <v>106</v>
      </c>
      <c r="E482" s="21">
        <f>E483+E503</f>
        <v>3598.6999999999994</v>
      </c>
      <c r="F482" s="21">
        <f>F483+F503</f>
        <v>369.3</v>
      </c>
      <c r="G482" s="21">
        <f>G483+G503</f>
        <v>36</v>
      </c>
    </row>
    <row r="483" spans="1:7" ht="47.25">
      <c r="A483" s="86" t="s">
        <v>40</v>
      </c>
      <c r="B483" s="88">
        <v>1100000000</v>
      </c>
      <c r="C483" s="86"/>
      <c r="D483" s="87" t="s">
        <v>221</v>
      </c>
      <c r="E483" s="16">
        <f>E494+E484</f>
        <v>3474.0999999999995</v>
      </c>
      <c r="F483" s="16">
        <f>F494+F484</f>
        <v>244.5</v>
      </c>
      <c r="G483" s="16">
        <f>G494+G484</f>
        <v>0</v>
      </c>
    </row>
    <row r="484" spans="1:7">
      <c r="A484" s="86" t="s">
        <v>40</v>
      </c>
      <c r="B484" s="86">
        <v>1110000000</v>
      </c>
      <c r="C484" s="86"/>
      <c r="D484" s="59" t="s">
        <v>200</v>
      </c>
      <c r="E484" s="16">
        <f>E485</f>
        <v>3388.5999999999995</v>
      </c>
      <c r="F484" s="16">
        <f t="shared" ref="F484:G492" si="169">F485</f>
        <v>159</v>
      </c>
      <c r="G484" s="16">
        <f t="shared" si="169"/>
        <v>0</v>
      </c>
    </row>
    <row r="485" spans="1:7">
      <c r="A485" s="86" t="s">
        <v>40</v>
      </c>
      <c r="B485" s="86">
        <v>1110400000</v>
      </c>
      <c r="C485" s="86"/>
      <c r="D485" s="59" t="s">
        <v>210</v>
      </c>
      <c r="E485" s="16">
        <f>E491+E486</f>
        <v>3388.5999999999995</v>
      </c>
      <c r="F485" s="16">
        <f t="shared" ref="F485:G485" si="170">F491+F486</f>
        <v>159</v>
      </c>
      <c r="G485" s="16">
        <f t="shared" si="170"/>
        <v>0</v>
      </c>
    </row>
    <row r="486" spans="1:7" ht="31.5">
      <c r="A486" s="86" t="s">
        <v>40</v>
      </c>
      <c r="B486" s="86">
        <v>1110410240</v>
      </c>
      <c r="C486" s="86"/>
      <c r="D486" s="66" t="s">
        <v>380</v>
      </c>
      <c r="E486" s="21">
        <f>E487+E489</f>
        <v>3209.6999999999994</v>
      </c>
      <c r="F486" s="21">
        <f t="shared" ref="F486:G486" si="171">F487+F489</f>
        <v>0</v>
      </c>
      <c r="G486" s="21">
        <f t="shared" si="171"/>
        <v>0</v>
      </c>
    </row>
    <row r="487" spans="1:7">
      <c r="A487" s="86" t="s">
        <v>40</v>
      </c>
      <c r="B487" s="86">
        <v>1110410240</v>
      </c>
      <c r="C487" s="1" t="s">
        <v>76</v>
      </c>
      <c r="D487" s="57" t="s">
        <v>77</v>
      </c>
      <c r="E487" s="21">
        <f>E488</f>
        <v>66.7</v>
      </c>
      <c r="F487" s="21">
        <f t="shared" ref="F487:G487" si="172">F488</f>
        <v>0</v>
      </c>
      <c r="G487" s="21">
        <f t="shared" si="172"/>
        <v>0</v>
      </c>
    </row>
    <row r="488" spans="1:7" ht="31.5">
      <c r="A488" s="86" t="s">
        <v>40</v>
      </c>
      <c r="B488" s="86">
        <v>1110410240</v>
      </c>
      <c r="C488" s="86">
        <v>320</v>
      </c>
      <c r="D488" s="87" t="s">
        <v>113</v>
      </c>
      <c r="E488" s="21">
        <f>'№ 5'!F746</f>
        <v>66.7</v>
      </c>
      <c r="F488" s="21">
        <f>'№ 5'!G746</f>
        <v>0</v>
      </c>
      <c r="G488" s="21">
        <f>'№ 5'!H746</f>
        <v>0</v>
      </c>
    </row>
    <row r="489" spans="1:7" ht="31.5">
      <c r="A489" s="86" t="s">
        <v>40</v>
      </c>
      <c r="B489" s="86">
        <v>1110410240</v>
      </c>
      <c r="C489" s="88" t="s">
        <v>104</v>
      </c>
      <c r="D489" s="87" t="s">
        <v>105</v>
      </c>
      <c r="E489" s="21">
        <f>E490</f>
        <v>3142.9999999999995</v>
      </c>
      <c r="F489" s="21">
        <f t="shared" ref="F489:G489" si="173">F490</f>
        <v>0</v>
      </c>
      <c r="G489" s="21">
        <f t="shared" si="173"/>
        <v>0</v>
      </c>
    </row>
    <row r="490" spans="1:7">
      <c r="A490" s="86" t="s">
        <v>40</v>
      </c>
      <c r="B490" s="86">
        <v>1110410240</v>
      </c>
      <c r="C490" s="86">
        <v>610</v>
      </c>
      <c r="D490" s="87" t="s">
        <v>115</v>
      </c>
      <c r="E490" s="21">
        <f>'№ 5'!F748+'№ 5'!F338</f>
        <v>3142.9999999999995</v>
      </c>
      <c r="F490" s="21">
        <f>'№ 5'!G748+'№ 5'!G338</f>
        <v>0</v>
      </c>
      <c r="G490" s="21">
        <f>'№ 5'!H748+'№ 5'!H338</f>
        <v>0</v>
      </c>
    </row>
    <row r="491" spans="1:7" ht="31.5">
      <c r="A491" s="86" t="s">
        <v>40</v>
      </c>
      <c r="B491" s="86" t="s">
        <v>212</v>
      </c>
      <c r="C491" s="86"/>
      <c r="D491" s="59" t="s">
        <v>211</v>
      </c>
      <c r="E491" s="16">
        <f>E492</f>
        <v>178.9</v>
      </c>
      <c r="F491" s="16">
        <f t="shared" si="169"/>
        <v>159</v>
      </c>
      <c r="G491" s="16">
        <f t="shared" si="169"/>
        <v>0</v>
      </c>
    </row>
    <row r="492" spans="1:7">
      <c r="A492" s="86" t="s">
        <v>40</v>
      </c>
      <c r="B492" s="86" t="s">
        <v>212</v>
      </c>
      <c r="C492" s="1" t="s">
        <v>76</v>
      </c>
      <c r="D492" s="60" t="s">
        <v>77</v>
      </c>
      <c r="E492" s="16">
        <f>E493</f>
        <v>178.9</v>
      </c>
      <c r="F492" s="16">
        <f t="shared" si="169"/>
        <v>159</v>
      </c>
      <c r="G492" s="16">
        <f t="shared" si="169"/>
        <v>0</v>
      </c>
    </row>
    <row r="493" spans="1:7" ht="31.5">
      <c r="A493" s="86" t="s">
        <v>40</v>
      </c>
      <c r="B493" s="86" t="s">
        <v>212</v>
      </c>
      <c r="C493" s="86">
        <v>320</v>
      </c>
      <c r="D493" s="87" t="s">
        <v>113</v>
      </c>
      <c r="E493" s="16">
        <f>'№ 5'!F751</f>
        <v>178.9</v>
      </c>
      <c r="F493" s="16">
        <f>'№ 5'!G751</f>
        <v>159</v>
      </c>
      <c r="G493" s="16">
        <f>'№ 5'!H751</f>
        <v>0</v>
      </c>
    </row>
    <row r="494" spans="1:7" ht="31.5">
      <c r="A494" s="86" t="s">
        <v>40</v>
      </c>
      <c r="B494" s="88">
        <v>1130000000</v>
      </c>
      <c r="C494" s="86"/>
      <c r="D494" s="59" t="s">
        <v>126</v>
      </c>
      <c r="E494" s="16">
        <f>E495+E499</f>
        <v>85.5</v>
      </c>
      <c r="F494" s="16">
        <f t="shared" ref="F494:G494" si="174">F495+F499</f>
        <v>85.5</v>
      </c>
      <c r="G494" s="16">
        <f t="shared" si="174"/>
        <v>0</v>
      </c>
    </row>
    <row r="495" spans="1:7" ht="31.5">
      <c r="A495" s="86" t="s">
        <v>40</v>
      </c>
      <c r="B495" s="86">
        <v>1130200000</v>
      </c>
      <c r="C495" s="86"/>
      <c r="D495" s="59" t="s">
        <v>213</v>
      </c>
      <c r="E495" s="16">
        <f>E496</f>
        <v>15.7</v>
      </c>
      <c r="F495" s="16">
        <f t="shared" ref="F495:G497" si="175">F496</f>
        <v>15.7</v>
      </c>
      <c r="G495" s="16">
        <f t="shared" si="175"/>
        <v>0</v>
      </c>
    </row>
    <row r="496" spans="1:7" ht="31.5">
      <c r="A496" s="86" t="s">
        <v>40</v>
      </c>
      <c r="B496" s="86">
        <v>1130220270</v>
      </c>
      <c r="C496" s="86"/>
      <c r="D496" s="59" t="s">
        <v>214</v>
      </c>
      <c r="E496" s="16">
        <f>E497</f>
        <v>15.7</v>
      </c>
      <c r="F496" s="16">
        <f t="shared" si="175"/>
        <v>15.7</v>
      </c>
      <c r="G496" s="16">
        <f t="shared" si="175"/>
        <v>0</v>
      </c>
    </row>
    <row r="497" spans="1:7">
      <c r="A497" s="86" t="s">
        <v>40</v>
      </c>
      <c r="B497" s="86">
        <v>1130220270</v>
      </c>
      <c r="C497" s="88" t="s">
        <v>76</v>
      </c>
      <c r="D497" s="87" t="s">
        <v>77</v>
      </c>
      <c r="E497" s="16">
        <f>E498</f>
        <v>15.7</v>
      </c>
      <c r="F497" s="16">
        <f t="shared" si="175"/>
        <v>15.7</v>
      </c>
      <c r="G497" s="16">
        <f t="shared" si="175"/>
        <v>0</v>
      </c>
    </row>
    <row r="498" spans="1:7">
      <c r="A498" s="86" t="s">
        <v>40</v>
      </c>
      <c r="B498" s="86">
        <v>1130220270</v>
      </c>
      <c r="C498" s="86">
        <v>350</v>
      </c>
      <c r="D498" s="59" t="s">
        <v>181</v>
      </c>
      <c r="E498" s="16">
        <f>'№ 5'!F343</f>
        <v>15.7</v>
      </c>
      <c r="F498" s="16">
        <f>'№ 5'!G343</f>
        <v>15.7</v>
      </c>
      <c r="G498" s="16">
        <f>'№ 5'!H343</f>
        <v>0</v>
      </c>
    </row>
    <row r="499" spans="1:7" ht="31.5">
      <c r="A499" s="86" t="s">
        <v>40</v>
      </c>
      <c r="B499" s="86">
        <v>1130400000</v>
      </c>
      <c r="C499" s="86"/>
      <c r="D499" s="59" t="s">
        <v>160</v>
      </c>
      <c r="E499" s="16">
        <f>E500</f>
        <v>69.8</v>
      </c>
      <c r="F499" s="16">
        <f t="shared" ref="F499:G501" si="176">F500</f>
        <v>69.8</v>
      </c>
      <c r="G499" s="16">
        <f t="shared" si="176"/>
        <v>0</v>
      </c>
    </row>
    <row r="500" spans="1:7" ht="31.5">
      <c r="A500" s="86" t="s">
        <v>40</v>
      </c>
      <c r="B500" s="86">
        <v>1130420290</v>
      </c>
      <c r="C500" s="86"/>
      <c r="D500" s="59" t="s">
        <v>161</v>
      </c>
      <c r="E500" s="16">
        <f>E501</f>
        <v>69.8</v>
      </c>
      <c r="F500" s="16">
        <f t="shared" si="176"/>
        <v>69.8</v>
      </c>
      <c r="G500" s="16">
        <f t="shared" si="176"/>
        <v>0</v>
      </c>
    </row>
    <row r="501" spans="1:7" ht="31.5">
      <c r="A501" s="86" t="s">
        <v>40</v>
      </c>
      <c r="B501" s="86">
        <v>1130420290</v>
      </c>
      <c r="C501" s="88" t="s">
        <v>72</v>
      </c>
      <c r="D501" s="87" t="s">
        <v>102</v>
      </c>
      <c r="E501" s="16">
        <f>E502</f>
        <v>69.8</v>
      </c>
      <c r="F501" s="16">
        <f t="shared" si="176"/>
        <v>69.8</v>
      </c>
      <c r="G501" s="16">
        <f t="shared" si="176"/>
        <v>0</v>
      </c>
    </row>
    <row r="502" spans="1:7" ht="31.5">
      <c r="A502" s="86" t="s">
        <v>40</v>
      </c>
      <c r="B502" s="86">
        <v>1130420290</v>
      </c>
      <c r="C502" s="86">
        <v>240</v>
      </c>
      <c r="D502" s="87" t="s">
        <v>315</v>
      </c>
      <c r="E502" s="16">
        <f>'№ 5'!F347</f>
        <v>69.8</v>
      </c>
      <c r="F502" s="16">
        <f>'№ 5'!G347</f>
        <v>69.8</v>
      </c>
      <c r="G502" s="16">
        <f>'№ 5'!H347</f>
        <v>0</v>
      </c>
    </row>
    <row r="503" spans="1:7" ht="47.25">
      <c r="A503" s="86" t="s">
        <v>40</v>
      </c>
      <c r="B503" s="88">
        <v>1200000000</v>
      </c>
      <c r="C503" s="86"/>
      <c r="D503" s="59" t="s">
        <v>216</v>
      </c>
      <c r="E503" s="16">
        <f>E504</f>
        <v>124.6</v>
      </c>
      <c r="F503" s="16">
        <f t="shared" ref="F503:G504" si="177">F504</f>
        <v>124.80000000000001</v>
      </c>
      <c r="G503" s="16">
        <f t="shared" si="177"/>
        <v>36</v>
      </c>
    </row>
    <row r="504" spans="1:7" ht="31.5">
      <c r="A504" s="86" t="s">
        <v>40</v>
      </c>
      <c r="B504" s="88">
        <v>1240000000</v>
      </c>
      <c r="C504" s="10"/>
      <c r="D504" s="59" t="s">
        <v>150</v>
      </c>
      <c r="E504" s="16">
        <f>E505</f>
        <v>124.6</v>
      </c>
      <c r="F504" s="16">
        <f t="shared" si="177"/>
        <v>124.80000000000001</v>
      </c>
      <c r="G504" s="16">
        <f t="shared" si="177"/>
        <v>36</v>
      </c>
    </row>
    <row r="505" spans="1:7" ht="31.5">
      <c r="A505" s="86" t="s">
        <v>40</v>
      </c>
      <c r="B505" s="10" t="s">
        <v>152</v>
      </c>
      <c r="C505" s="10"/>
      <c r="D505" s="59" t="s">
        <v>160</v>
      </c>
      <c r="E505" s="16">
        <f>E509+E512+E515+E506</f>
        <v>124.6</v>
      </c>
      <c r="F505" s="16">
        <f t="shared" ref="F505:G505" si="178">F509+F512+F515+F506</f>
        <v>124.80000000000001</v>
      </c>
      <c r="G505" s="16">
        <f t="shared" si="178"/>
        <v>36</v>
      </c>
    </row>
    <row r="506" spans="1:7">
      <c r="A506" s="2" t="s">
        <v>40</v>
      </c>
      <c r="B506" s="10" t="s">
        <v>248</v>
      </c>
      <c r="C506" s="11"/>
      <c r="D506" s="59" t="s">
        <v>163</v>
      </c>
      <c r="E506" s="16">
        <f>E507</f>
        <v>51.9</v>
      </c>
      <c r="F506" s="16">
        <f t="shared" ref="F506:G507" si="179">F507</f>
        <v>51.9</v>
      </c>
      <c r="G506" s="16">
        <f t="shared" si="179"/>
        <v>0</v>
      </c>
    </row>
    <row r="507" spans="1:7" ht="31.5">
      <c r="A507" s="2" t="s">
        <v>40</v>
      </c>
      <c r="B507" s="10" t="s">
        <v>248</v>
      </c>
      <c r="C507" s="88" t="s">
        <v>72</v>
      </c>
      <c r="D507" s="87" t="s">
        <v>102</v>
      </c>
      <c r="E507" s="16">
        <f>E508</f>
        <v>51.9</v>
      </c>
      <c r="F507" s="16">
        <f t="shared" si="179"/>
        <v>51.9</v>
      </c>
      <c r="G507" s="16">
        <f t="shared" si="179"/>
        <v>0</v>
      </c>
    </row>
    <row r="508" spans="1:7" ht="31.5">
      <c r="A508" s="2" t="s">
        <v>40</v>
      </c>
      <c r="B508" s="10" t="s">
        <v>248</v>
      </c>
      <c r="C508" s="86">
        <v>240</v>
      </c>
      <c r="D508" s="87" t="s">
        <v>315</v>
      </c>
      <c r="E508" s="16">
        <f>'№ 5'!F353</f>
        <v>51.9</v>
      </c>
      <c r="F508" s="16">
        <f>'№ 5'!G353</f>
        <v>51.9</v>
      </c>
      <c r="G508" s="16">
        <f>'№ 5'!H353</f>
        <v>0</v>
      </c>
    </row>
    <row r="509" spans="1:7" ht="31.5">
      <c r="A509" s="86" t="s">
        <v>40</v>
      </c>
      <c r="B509" s="10" t="s">
        <v>154</v>
      </c>
      <c r="C509" s="10"/>
      <c r="D509" s="59" t="s">
        <v>153</v>
      </c>
      <c r="E509" s="16">
        <f>E510</f>
        <v>22.7</v>
      </c>
      <c r="F509" s="16">
        <f t="shared" ref="F509:G510" si="180">F510</f>
        <v>22.9</v>
      </c>
      <c r="G509" s="16">
        <f t="shared" si="180"/>
        <v>0</v>
      </c>
    </row>
    <row r="510" spans="1:7" ht="31.5">
      <c r="A510" s="86" t="s">
        <v>40</v>
      </c>
      <c r="B510" s="10" t="s">
        <v>154</v>
      </c>
      <c r="C510" s="88" t="s">
        <v>72</v>
      </c>
      <c r="D510" s="87" t="s">
        <v>102</v>
      </c>
      <c r="E510" s="16">
        <f>E511</f>
        <v>22.7</v>
      </c>
      <c r="F510" s="16">
        <f t="shared" si="180"/>
        <v>22.9</v>
      </c>
      <c r="G510" s="16">
        <f t="shared" si="180"/>
        <v>0</v>
      </c>
    </row>
    <row r="511" spans="1:7" ht="31.5">
      <c r="A511" s="86" t="s">
        <v>40</v>
      </c>
      <c r="B511" s="10" t="s">
        <v>154</v>
      </c>
      <c r="C511" s="86">
        <v>240</v>
      </c>
      <c r="D511" s="87" t="s">
        <v>315</v>
      </c>
      <c r="E511" s="16">
        <f>'№ 5'!F356</f>
        <v>22.7</v>
      </c>
      <c r="F511" s="16">
        <f>'№ 5'!G356</f>
        <v>22.9</v>
      </c>
      <c r="G511" s="16">
        <f>'№ 5'!H356</f>
        <v>0</v>
      </c>
    </row>
    <row r="512" spans="1:7" ht="31.5">
      <c r="A512" s="86" t="s">
        <v>40</v>
      </c>
      <c r="B512" s="10" t="s">
        <v>156</v>
      </c>
      <c r="C512" s="10"/>
      <c r="D512" s="59" t="s">
        <v>155</v>
      </c>
      <c r="E512" s="16">
        <f>E513</f>
        <v>14</v>
      </c>
      <c r="F512" s="16">
        <f t="shared" ref="F512:G513" si="181">F513</f>
        <v>14</v>
      </c>
      <c r="G512" s="16">
        <f t="shared" si="181"/>
        <v>0</v>
      </c>
    </row>
    <row r="513" spans="1:7" ht="31.5">
      <c r="A513" s="86" t="s">
        <v>40</v>
      </c>
      <c r="B513" s="10" t="s">
        <v>156</v>
      </c>
      <c r="C513" s="88" t="s">
        <v>72</v>
      </c>
      <c r="D513" s="87" t="s">
        <v>102</v>
      </c>
      <c r="E513" s="16">
        <f>E514</f>
        <v>14</v>
      </c>
      <c r="F513" s="16">
        <f t="shared" si="181"/>
        <v>14</v>
      </c>
      <c r="G513" s="16">
        <f t="shared" si="181"/>
        <v>0</v>
      </c>
    </row>
    <row r="514" spans="1:7" ht="31.5">
      <c r="A514" s="86" t="s">
        <v>40</v>
      </c>
      <c r="B514" s="10" t="s">
        <v>156</v>
      </c>
      <c r="C514" s="86">
        <v>240</v>
      </c>
      <c r="D514" s="87" t="s">
        <v>315</v>
      </c>
      <c r="E514" s="16">
        <f>'№ 5'!F359</f>
        <v>14</v>
      </c>
      <c r="F514" s="16">
        <f>'№ 5'!G359</f>
        <v>14</v>
      </c>
      <c r="G514" s="16">
        <f>'№ 5'!H359</f>
        <v>0</v>
      </c>
    </row>
    <row r="515" spans="1:7">
      <c r="A515" s="86" t="s">
        <v>40</v>
      </c>
      <c r="B515" s="10" t="s">
        <v>250</v>
      </c>
      <c r="C515" s="10"/>
      <c r="D515" s="59" t="s">
        <v>157</v>
      </c>
      <c r="E515" s="16">
        <f>E516</f>
        <v>36</v>
      </c>
      <c r="F515" s="16">
        <f t="shared" ref="F515:G516" si="182">F516</f>
        <v>36</v>
      </c>
      <c r="G515" s="16">
        <f t="shared" si="182"/>
        <v>36</v>
      </c>
    </row>
    <row r="516" spans="1:7">
      <c r="A516" s="86" t="s">
        <v>40</v>
      </c>
      <c r="B516" s="10" t="s">
        <v>250</v>
      </c>
      <c r="C516" s="88" t="s">
        <v>76</v>
      </c>
      <c r="D516" s="87" t="s">
        <v>77</v>
      </c>
      <c r="E516" s="16">
        <f>E517</f>
        <v>36</v>
      </c>
      <c r="F516" s="16">
        <f t="shared" si="182"/>
        <v>36</v>
      </c>
      <c r="G516" s="16">
        <f t="shared" si="182"/>
        <v>36</v>
      </c>
    </row>
    <row r="517" spans="1:7">
      <c r="A517" s="86" t="s">
        <v>40</v>
      </c>
      <c r="B517" s="10" t="s">
        <v>250</v>
      </c>
      <c r="C517" s="10" t="s">
        <v>158</v>
      </c>
      <c r="D517" s="59" t="s">
        <v>159</v>
      </c>
      <c r="E517" s="16">
        <f>'№ 5'!F362</f>
        <v>36</v>
      </c>
      <c r="F517" s="16">
        <f>'№ 5'!G362</f>
        <v>36</v>
      </c>
      <c r="G517" s="16">
        <f>'№ 5'!H362</f>
        <v>36</v>
      </c>
    </row>
    <row r="518" spans="1:7">
      <c r="A518" s="86" t="s">
        <v>55</v>
      </c>
      <c r="B518" s="86" t="s">
        <v>69</v>
      </c>
      <c r="C518" s="86" t="s">
        <v>69</v>
      </c>
      <c r="D518" s="59" t="s">
        <v>13</v>
      </c>
      <c r="E518" s="16">
        <f>E519+E535</f>
        <v>6198.9</v>
      </c>
      <c r="F518" s="16">
        <f>F519+F535</f>
        <v>6119</v>
      </c>
      <c r="G518" s="16">
        <f>G519+G535</f>
        <v>5722.2</v>
      </c>
    </row>
    <row r="519" spans="1:7" ht="47.25">
      <c r="A519" s="86" t="s">
        <v>55</v>
      </c>
      <c r="B519" s="88">
        <v>1100000000</v>
      </c>
      <c r="C519" s="86"/>
      <c r="D519" s="87" t="s">
        <v>221</v>
      </c>
      <c r="E519" s="16">
        <f>E520</f>
        <v>343.7</v>
      </c>
      <c r="F519" s="16">
        <f t="shared" ref="F519:G527" si="183">F520</f>
        <v>396.79999999999995</v>
      </c>
      <c r="G519" s="16">
        <f t="shared" si="183"/>
        <v>0</v>
      </c>
    </row>
    <row r="520" spans="1:7" ht="31.5">
      <c r="A520" s="86" t="s">
        <v>55</v>
      </c>
      <c r="B520" s="88">
        <v>1130000000</v>
      </c>
      <c r="C520" s="24"/>
      <c r="D520" s="59" t="s">
        <v>126</v>
      </c>
      <c r="E520" s="16">
        <f>E525+E521+E531</f>
        <v>343.7</v>
      </c>
      <c r="F520" s="16">
        <f t="shared" ref="F520:G520" si="184">F525+F521+F531</f>
        <v>396.79999999999995</v>
      </c>
      <c r="G520" s="16">
        <f t="shared" si="184"/>
        <v>0</v>
      </c>
    </row>
    <row r="521" spans="1:7" ht="31.5">
      <c r="A521" s="86" t="s">
        <v>55</v>
      </c>
      <c r="B521" s="86">
        <v>1130100000</v>
      </c>
      <c r="C521" s="24"/>
      <c r="D521" s="59" t="s">
        <v>263</v>
      </c>
      <c r="E521" s="16">
        <f>E522</f>
        <v>124.4</v>
      </c>
      <c r="F521" s="16">
        <f t="shared" ref="F521:G523" si="185">F522</f>
        <v>124.4</v>
      </c>
      <c r="G521" s="16">
        <f t="shared" si="185"/>
        <v>0</v>
      </c>
    </row>
    <row r="522" spans="1:7" ht="31.5">
      <c r="A522" s="86" t="s">
        <v>55</v>
      </c>
      <c r="B522" s="88">
        <v>1130120260</v>
      </c>
      <c r="C522" s="24"/>
      <c r="D522" s="59" t="s">
        <v>264</v>
      </c>
      <c r="E522" s="16">
        <f>E523</f>
        <v>124.4</v>
      </c>
      <c r="F522" s="16">
        <f t="shared" si="185"/>
        <v>124.4</v>
      </c>
      <c r="G522" s="16">
        <f t="shared" si="185"/>
        <v>0</v>
      </c>
    </row>
    <row r="523" spans="1:7" ht="31.5">
      <c r="A523" s="86" t="s">
        <v>55</v>
      </c>
      <c r="B523" s="88">
        <v>1130120260</v>
      </c>
      <c r="C523" s="86" t="s">
        <v>72</v>
      </c>
      <c r="D523" s="59" t="s">
        <v>102</v>
      </c>
      <c r="E523" s="16">
        <f>E524</f>
        <v>124.4</v>
      </c>
      <c r="F523" s="16">
        <f t="shared" si="185"/>
        <v>124.4</v>
      </c>
      <c r="G523" s="16">
        <f t="shared" si="185"/>
        <v>0</v>
      </c>
    </row>
    <row r="524" spans="1:7" ht="31.5">
      <c r="A524" s="86" t="s">
        <v>55</v>
      </c>
      <c r="B524" s="88">
        <v>1130120260</v>
      </c>
      <c r="C524" s="86">
        <v>240</v>
      </c>
      <c r="D524" s="59" t="s">
        <v>315</v>
      </c>
      <c r="E524" s="16">
        <f>'№ 5'!F758</f>
        <v>124.4</v>
      </c>
      <c r="F524" s="16">
        <f>'№ 5'!G758</f>
        <v>124.4</v>
      </c>
      <c r="G524" s="16">
        <f>'№ 5'!H758</f>
        <v>0</v>
      </c>
    </row>
    <row r="525" spans="1:7" ht="31.5">
      <c r="A525" s="86" t="s">
        <v>55</v>
      </c>
      <c r="B525" s="86">
        <v>1130200000</v>
      </c>
      <c r="C525" s="86"/>
      <c r="D525" s="59" t="s">
        <v>213</v>
      </c>
      <c r="E525" s="16">
        <f>E526</f>
        <v>180.29999999999998</v>
      </c>
      <c r="F525" s="16">
        <f t="shared" si="183"/>
        <v>272.39999999999998</v>
      </c>
      <c r="G525" s="16">
        <f t="shared" si="183"/>
        <v>0</v>
      </c>
    </row>
    <row r="526" spans="1:7" ht="31.5">
      <c r="A526" s="86" t="s">
        <v>55</v>
      </c>
      <c r="B526" s="86">
        <v>1130220270</v>
      </c>
      <c r="C526" s="86"/>
      <c r="D526" s="59" t="s">
        <v>214</v>
      </c>
      <c r="E526" s="16">
        <f>E527+E529</f>
        <v>180.29999999999998</v>
      </c>
      <c r="F526" s="16">
        <f t="shared" ref="F526:G526" si="186">F527+F529</f>
        <v>272.39999999999998</v>
      </c>
      <c r="G526" s="16">
        <f t="shared" si="186"/>
        <v>0</v>
      </c>
    </row>
    <row r="527" spans="1:7" ht="31.5">
      <c r="A527" s="86" t="s">
        <v>55</v>
      </c>
      <c r="B527" s="86">
        <v>1130220270</v>
      </c>
      <c r="C527" s="86" t="s">
        <v>72</v>
      </c>
      <c r="D527" s="59" t="s">
        <v>102</v>
      </c>
      <c r="E527" s="16">
        <f>E528</f>
        <v>137.39999999999998</v>
      </c>
      <c r="F527" s="16">
        <f t="shared" si="183"/>
        <v>185.2</v>
      </c>
      <c r="G527" s="16">
        <f t="shared" si="183"/>
        <v>0</v>
      </c>
    </row>
    <row r="528" spans="1:7" ht="31.5">
      <c r="A528" s="86" t="s">
        <v>55</v>
      </c>
      <c r="B528" s="86">
        <v>1130220270</v>
      </c>
      <c r="C528" s="86">
        <v>240</v>
      </c>
      <c r="D528" s="59" t="s">
        <v>315</v>
      </c>
      <c r="E528" s="16">
        <f>'№ 5'!F762</f>
        <v>137.39999999999998</v>
      </c>
      <c r="F528" s="16">
        <f>'№ 5'!G762</f>
        <v>185.2</v>
      </c>
      <c r="G528" s="16">
        <f>'№ 5'!H762</f>
        <v>0</v>
      </c>
    </row>
    <row r="529" spans="1:7">
      <c r="A529" s="86" t="s">
        <v>55</v>
      </c>
      <c r="B529" s="86">
        <v>1130220270</v>
      </c>
      <c r="C529" s="1" t="s">
        <v>76</v>
      </c>
      <c r="D529" s="57" t="s">
        <v>77</v>
      </c>
      <c r="E529" s="16">
        <f>E530</f>
        <v>42.900000000000006</v>
      </c>
      <c r="F529" s="16">
        <f t="shared" ref="F529:G529" si="187">F530</f>
        <v>87.2</v>
      </c>
      <c r="G529" s="16">
        <f t="shared" si="187"/>
        <v>0</v>
      </c>
    </row>
    <row r="530" spans="1:7">
      <c r="A530" s="86" t="s">
        <v>55</v>
      </c>
      <c r="B530" s="86">
        <v>1130220270</v>
      </c>
      <c r="C530" s="86">
        <v>350</v>
      </c>
      <c r="D530" s="87" t="s">
        <v>181</v>
      </c>
      <c r="E530" s="16">
        <f>'№ 5'!F764</f>
        <v>42.900000000000006</v>
      </c>
      <c r="F530" s="16">
        <f>'№ 5'!G764</f>
        <v>87.2</v>
      </c>
      <c r="G530" s="16">
        <f>'№ 5'!H764</f>
        <v>0</v>
      </c>
    </row>
    <row r="531" spans="1:7" ht="31.5">
      <c r="A531" s="86" t="s">
        <v>55</v>
      </c>
      <c r="B531" s="86">
        <v>1130500000</v>
      </c>
      <c r="C531" s="86"/>
      <c r="D531" s="87" t="s">
        <v>384</v>
      </c>
      <c r="E531" s="16">
        <f>E532</f>
        <v>39</v>
      </c>
      <c r="F531" s="16">
        <f t="shared" ref="F531:G533" si="188">F532</f>
        <v>0</v>
      </c>
      <c r="G531" s="16">
        <f t="shared" si="188"/>
        <v>0</v>
      </c>
    </row>
    <row r="532" spans="1:7" ht="31.5">
      <c r="A532" s="86" t="s">
        <v>55</v>
      </c>
      <c r="B532" s="86">
        <v>1130520300</v>
      </c>
      <c r="C532" s="86"/>
      <c r="D532" s="87" t="s">
        <v>385</v>
      </c>
      <c r="E532" s="16">
        <f>E533</f>
        <v>39</v>
      </c>
      <c r="F532" s="16">
        <f t="shared" si="188"/>
        <v>0</v>
      </c>
      <c r="G532" s="16">
        <f t="shared" si="188"/>
        <v>0</v>
      </c>
    </row>
    <row r="533" spans="1:7" ht="31.5">
      <c r="A533" s="86" t="s">
        <v>55</v>
      </c>
      <c r="B533" s="86">
        <v>1130520300</v>
      </c>
      <c r="C533" s="86" t="s">
        <v>72</v>
      </c>
      <c r="D533" s="87" t="s">
        <v>102</v>
      </c>
      <c r="E533" s="16">
        <f>E534</f>
        <v>39</v>
      </c>
      <c r="F533" s="16">
        <f t="shared" si="188"/>
        <v>0</v>
      </c>
      <c r="G533" s="16">
        <f t="shared" si="188"/>
        <v>0</v>
      </c>
    </row>
    <row r="534" spans="1:7" ht="31.5">
      <c r="A534" s="86" t="s">
        <v>55</v>
      </c>
      <c r="B534" s="86">
        <v>1130520300</v>
      </c>
      <c r="C534" s="86">
        <v>240</v>
      </c>
      <c r="D534" s="87" t="s">
        <v>315</v>
      </c>
      <c r="E534" s="16">
        <f>'№ 5'!F768</f>
        <v>39</v>
      </c>
      <c r="F534" s="16">
        <f>'№ 5'!G768</f>
        <v>0</v>
      </c>
      <c r="G534" s="16">
        <f>'№ 5'!H768</f>
        <v>0</v>
      </c>
    </row>
    <row r="535" spans="1:7">
      <c r="A535" s="86" t="s">
        <v>55</v>
      </c>
      <c r="B535" s="86">
        <v>9900000000</v>
      </c>
      <c r="C535" s="86"/>
      <c r="D535" s="59" t="s">
        <v>116</v>
      </c>
      <c r="E535" s="16">
        <f>E536</f>
        <v>5855.2</v>
      </c>
      <c r="F535" s="16">
        <f t="shared" ref="F535:G536" si="189">F536</f>
        <v>5722.2</v>
      </c>
      <c r="G535" s="16">
        <f t="shared" si="189"/>
        <v>5722.2</v>
      </c>
    </row>
    <row r="536" spans="1:7" ht="31.5">
      <c r="A536" s="86" t="s">
        <v>55</v>
      </c>
      <c r="B536" s="86">
        <v>9990000000</v>
      </c>
      <c r="C536" s="86"/>
      <c r="D536" s="59" t="s">
        <v>176</v>
      </c>
      <c r="E536" s="16">
        <f>E537</f>
        <v>5855.2</v>
      </c>
      <c r="F536" s="16">
        <f t="shared" si="189"/>
        <v>5722.2</v>
      </c>
      <c r="G536" s="16">
        <f t="shared" si="189"/>
        <v>5722.2</v>
      </c>
    </row>
    <row r="537" spans="1:7" ht="31.5">
      <c r="A537" s="86" t="s">
        <v>55</v>
      </c>
      <c r="B537" s="86">
        <v>9990200000</v>
      </c>
      <c r="C537" s="24"/>
      <c r="D537" s="59" t="s">
        <v>129</v>
      </c>
      <c r="E537" s="16">
        <f>E538</f>
        <v>5855.2</v>
      </c>
      <c r="F537" s="16">
        <f t="shared" ref="F537:G539" si="190">F538</f>
        <v>5722.2</v>
      </c>
      <c r="G537" s="16">
        <f t="shared" si="190"/>
        <v>5722.2</v>
      </c>
    </row>
    <row r="538" spans="1:7" ht="47.25">
      <c r="A538" s="86" t="s">
        <v>55</v>
      </c>
      <c r="B538" s="86">
        <v>9990225000</v>
      </c>
      <c r="C538" s="86"/>
      <c r="D538" s="59" t="s">
        <v>130</v>
      </c>
      <c r="E538" s="16">
        <f>E539+E541</f>
        <v>5855.2</v>
      </c>
      <c r="F538" s="16">
        <f t="shared" ref="F538:G538" si="191">F539+F541</f>
        <v>5722.2</v>
      </c>
      <c r="G538" s="16">
        <f t="shared" si="191"/>
        <v>5722.2</v>
      </c>
    </row>
    <row r="539" spans="1:7" ht="63">
      <c r="A539" s="86" t="s">
        <v>55</v>
      </c>
      <c r="B539" s="86">
        <v>9990225000</v>
      </c>
      <c r="C539" s="86" t="s">
        <v>71</v>
      </c>
      <c r="D539" s="59" t="s">
        <v>1</v>
      </c>
      <c r="E539" s="16">
        <f>E540</f>
        <v>5831</v>
      </c>
      <c r="F539" s="16">
        <f t="shared" si="190"/>
        <v>5648</v>
      </c>
      <c r="G539" s="16">
        <f t="shared" si="190"/>
        <v>5648</v>
      </c>
    </row>
    <row r="540" spans="1:7" ht="31.5">
      <c r="A540" s="86" t="s">
        <v>55</v>
      </c>
      <c r="B540" s="86">
        <v>9990225000</v>
      </c>
      <c r="C540" s="86">
        <v>120</v>
      </c>
      <c r="D540" s="59" t="s">
        <v>319</v>
      </c>
      <c r="E540" s="16">
        <f>'№ 5'!F774</f>
        <v>5831</v>
      </c>
      <c r="F540" s="16">
        <f>'№ 5'!G774</f>
        <v>5648</v>
      </c>
      <c r="G540" s="16">
        <f>'№ 5'!H774</f>
        <v>5648</v>
      </c>
    </row>
    <row r="541" spans="1:7">
      <c r="A541" s="86" t="s">
        <v>55</v>
      </c>
      <c r="B541" s="86">
        <v>9990225000</v>
      </c>
      <c r="C541" s="86" t="s">
        <v>73</v>
      </c>
      <c r="D541" s="59" t="s">
        <v>74</v>
      </c>
      <c r="E541" s="16">
        <f>E542</f>
        <v>24.200000000000003</v>
      </c>
      <c r="F541" s="16">
        <f t="shared" ref="F541:G541" si="192">F542</f>
        <v>74.2</v>
      </c>
      <c r="G541" s="16">
        <f t="shared" si="192"/>
        <v>74.2</v>
      </c>
    </row>
    <row r="542" spans="1:7">
      <c r="A542" s="86" t="s">
        <v>55</v>
      </c>
      <c r="B542" s="86">
        <v>9990225000</v>
      </c>
      <c r="C542" s="86">
        <v>850</v>
      </c>
      <c r="D542" s="59" t="s">
        <v>111</v>
      </c>
      <c r="E542" s="16">
        <f>'№ 5'!F776</f>
        <v>24.200000000000003</v>
      </c>
      <c r="F542" s="16">
        <f>'№ 5'!G776</f>
        <v>74.2</v>
      </c>
      <c r="G542" s="16">
        <f>'№ 5'!H776</f>
        <v>74.2</v>
      </c>
    </row>
    <row r="543" spans="1:7">
      <c r="A543" s="4" t="s">
        <v>43</v>
      </c>
      <c r="B543" s="4" t="s">
        <v>69</v>
      </c>
      <c r="C543" s="4" t="s">
        <v>69</v>
      </c>
      <c r="D543" s="19" t="s">
        <v>85</v>
      </c>
      <c r="E543" s="6">
        <f>E544</f>
        <v>42233.7</v>
      </c>
      <c r="F543" s="6">
        <f t="shared" ref="F543:G543" si="193">F544</f>
        <v>28181.4</v>
      </c>
      <c r="G543" s="6">
        <f t="shared" si="193"/>
        <v>29052.800000000003</v>
      </c>
    </row>
    <row r="544" spans="1:7">
      <c r="A544" s="89" t="s">
        <v>44</v>
      </c>
      <c r="B544" s="89" t="s">
        <v>69</v>
      </c>
      <c r="C544" s="89" t="s">
        <v>69</v>
      </c>
      <c r="D544" s="90" t="s">
        <v>14</v>
      </c>
      <c r="E544" s="7">
        <f>E545+E587</f>
        <v>42233.7</v>
      </c>
      <c r="F544" s="7">
        <f>F545+F587</f>
        <v>28181.4</v>
      </c>
      <c r="G544" s="7">
        <f>G545+G587</f>
        <v>29052.800000000003</v>
      </c>
    </row>
    <row r="545" spans="1:7" ht="47.25">
      <c r="A545" s="86" t="s">
        <v>44</v>
      </c>
      <c r="B545" s="88">
        <v>1200000000</v>
      </c>
      <c r="C545" s="86"/>
      <c r="D545" s="59" t="s">
        <v>216</v>
      </c>
      <c r="E545" s="16">
        <f>E546+E564</f>
        <v>41991.7</v>
      </c>
      <c r="F545" s="16">
        <f>F546+F564</f>
        <v>28181.4</v>
      </c>
      <c r="G545" s="16">
        <f>G546+G564</f>
        <v>29052.800000000003</v>
      </c>
    </row>
    <row r="546" spans="1:7" ht="31.5">
      <c r="A546" s="86" t="s">
        <v>44</v>
      </c>
      <c r="B546" s="88">
        <v>1210000000</v>
      </c>
      <c r="C546" s="86"/>
      <c r="D546" s="59" t="s">
        <v>232</v>
      </c>
      <c r="E546" s="16">
        <f>E547+E557</f>
        <v>14329.1</v>
      </c>
      <c r="F546" s="16">
        <f>F547+F557</f>
        <v>9800.4</v>
      </c>
      <c r="G546" s="16">
        <f>G547+G557</f>
        <v>9800.4</v>
      </c>
    </row>
    <row r="547" spans="1:7" ht="31.5">
      <c r="A547" s="86" t="s">
        <v>44</v>
      </c>
      <c r="B547" s="88">
        <v>1210100000</v>
      </c>
      <c r="C547" s="86"/>
      <c r="D547" s="59" t="s">
        <v>233</v>
      </c>
      <c r="E547" s="16">
        <f>E551+E548+E554</f>
        <v>14209.4</v>
      </c>
      <c r="F547" s="16">
        <f t="shared" ref="F547:G547" si="194">F551+F548+F554</f>
        <v>9720.4</v>
      </c>
      <c r="G547" s="16">
        <f t="shared" si="194"/>
        <v>9720.4</v>
      </c>
    </row>
    <row r="548" spans="1:7" ht="47.25">
      <c r="A548" s="86" t="s">
        <v>44</v>
      </c>
      <c r="B548" s="88">
        <v>1210110680</v>
      </c>
      <c r="C548" s="86"/>
      <c r="D548" s="73" t="s">
        <v>398</v>
      </c>
      <c r="E548" s="16">
        <f>E549</f>
        <v>4045.6000000000004</v>
      </c>
      <c r="F548" s="16">
        <f t="shared" ref="F548:G549" si="195">F549</f>
        <v>0</v>
      </c>
      <c r="G548" s="16">
        <f t="shared" si="195"/>
        <v>0</v>
      </c>
    </row>
    <row r="549" spans="1:7" ht="31.5">
      <c r="A549" s="86" t="s">
        <v>44</v>
      </c>
      <c r="B549" s="88">
        <v>1210110680</v>
      </c>
      <c r="C549" s="88" t="s">
        <v>104</v>
      </c>
      <c r="D549" s="66" t="s">
        <v>105</v>
      </c>
      <c r="E549" s="16">
        <f>E550</f>
        <v>4045.6000000000004</v>
      </c>
      <c r="F549" s="16">
        <f t="shared" si="195"/>
        <v>0</v>
      </c>
      <c r="G549" s="16">
        <f t="shared" si="195"/>
        <v>0</v>
      </c>
    </row>
    <row r="550" spans="1:7">
      <c r="A550" s="86" t="s">
        <v>44</v>
      </c>
      <c r="B550" s="88">
        <v>1210110680</v>
      </c>
      <c r="C550" s="86">
        <v>610</v>
      </c>
      <c r="D550" s="66" t="s">
        <v>115</v>
      </c>
      <c r="E550" s="16">
        <f>'№ 5'!F370</f>
        <v>4045.6000000000004</v>
      </c>
      <c r="F550" s="16">
        <f>'№ 5'!G370</f>
        <v>0</v>
      </c>
      <c r="G550" s="16">
        <f>'№ 5'!H370</f>
        <v>0</v>
      </c>
    </row>
    <row r="551" spans="1:7" ht="31.5">
      <c r="A551" s="86" t="s">
        <v>44</v>
      </c>
      <c r="B551" s="88">
        <v>1210120010</v>
      </c>
      <c r="C551" s="86"/>
      <c r="D551" s="59" t="s">
        <v>135</v>
      </c>
      <c r="E551" s="16">
        <f>E552</f>
        <v>10123.299999999999</v>
      </c>
      <c r="F551" s="16">
        <f t="shared" ref="F551:G552" si="196">F552</f>
        <v>9720.4</v>
      </c>
      <c r="G551" s="16">
        <f t="shared" si="196"/>
        <v>9720.4</v>
      </c>
    </row>
    <row r="552" spans="1:7" ht="31.5">
      <c r="A552" s="86" t="s">
        <v>44</v>
      </c>
      <c r="B552" s="88">
        <v>1210120010</v>
      </c>
      <c r="C552" s="88" t="s">
        <v>104</v>
      </c>
      <c r="D552" s="87" t="s">
        <v>105</v>
      </c>
      <c r="E552" s="16">
        <f>E553</f>
        <v>10123.299999999999</v>
      </c>
      <c r="F552" s="16">
        <f t="shared" si="196"/>
        <v>9720.4</v>
      </c>
      <c r="G552" s="16">
        <f t="shared" si="196"/>
        <v>9720.4</v>
      </c>
    </row>
    <row r="553" spans="1:7">
      <c r="A553" s="86" t="s">
        <v>44</v>
      </c>
      <c r="B553" s="88">
        <v>1210120010</v>
      </c>
      <c r="C553" s="86">
        <v>610</v>
      </c>
      <c r="D553" s="87" t="s">
        <v>115</v>
      </c>
      <c r="E553" s="16">
        <f>'№ 5'!F373</f>
        <v>10123.299999999999</v>
      </c>
      <c r="F553" s="16">
        <f>'№ 5'!G373</f>
        <v>9720.4</v>
      </c>
      <c r="G553" s="16">
        <f>'№ 5'!H373</f>
        <v>9720.4</v>
      </c>
    </row>
    <row r="554" spans="1:7" ht="47.25">
      <c r="A554" s="86" t="s">
        <v>44</v>
      </c>
      <c r="B554" s="88" t="s">
        <v>399</v>
      </c>
      <c r="C554" s="86"/>
      <c r="D554" s="73" t="s">
        <v>400</v>
      </c>
      <c r="E554" s="16">
        <f>E555</f>
        <v>40.5</v>
      </c>
      <c r="F554" s="16">
        <f t="shared" ref="F554:G555" si="197">F555</f>
        <v>0</v>
      </c>
      <c r="G554" s="16">
        <f t="shared" si="197"/>
        <v>0</v>
      </c>
    </row>
    <row r="555" spans="1:7" ht="31.5">
      <c r="A555" s="86" t="s">
        <v>44</v>
      </c>
      <c r="B555" s="88" t="s">
        <v>399</v>
      </c>
      <c r="C555" s="88" t="s">
        <v>104</v>
      </c>
      <c r="D555" s="66" t="s">
        <v>105</v>
      </c>
      <c r="E555" s="16">
        <f>E556</f>
        <v>40.5</v>
      </c>
      <c r="F555" s="16">
        <f t="shared" si="197"/>
        <v>0</v>
      </c>
      <c r="G555" s="16">
        <f t="shared" si="197"/>
        <v>0</v>
      </c>
    </row>
    <row r="556" spans="1:7">
      <c r="A556" s="86" t="s">
        <v>44</v>
      </c>
      <c r="B556" s="88" t="s">
        <v>399</v>
      </c>
      <c r="C556" s="86">
        <v>610</v>
      </c>
      <c r="D556" s="66" t="s">
        <v>115</v>
      </c>
      <c r="E556" s="16">
        <f>'№ 5'!F376</f>
        <v>40.5</v>
      </c>
      <c r="F556" s="16">
        <f>'№ 5'!G376</f>
        <v>0</v>
      </c>
      <c r="G556" s="16">
        <f>'№ 5'!H376</f>
        <v>0</v>
      </c>
    </row>
    <row r="557" spans="1:7" ht="31.5">
      <c r="A557" s="86" t="s">
        <v>44</v>
      </c>
      <c r="B557" s="88">
        <v>1210300000</v>
      </c>
      <c r="C557" s="86"/>
      <c r="D557" s="87" t="s">
        <v>234</v>
      </c>
      <c r="E557" s="16">
        <f>E558+E561</f>
        <v>119.7</v>
      </c>
      <c r="F557" s="16">
        <f t="shared" ref="F557:G557" si="198">F558+F561</f>
        <v>80</v>
      </c>
      <c r="G557" s="16">
        <f t="shared" si="198"/>
        <v>80</v>
      </c>
    </row>
    <row r="558" spans="1:7">
      <c r="A558" s="86" t="s">
        <v>44</v>
      </c>
      <c r="B558" s="86">
        <v>1210320010</v>
      </c>
      <c r="C558" s="86"/>
      <c r="D558" s="59" t="s">
        <v>282</v>
      </c>
      <c r="E558" s="16">
        <f>E559</f>
        <v>80</v>
      </c>
      <c r="F558" s="16">
        <f t="shared" ref="F558:G559" si="199">F559</f>
        <v>80</v>
      </c>
      <c r="G558" s="16">
        <f t="shared" si="199"/>
        <v>80</v>
      </c>
    </row>
    <row r="559" spans="1:7" ht="31.5">
      <c r="A559" s="86" t="s">
        <v>44</v>
      </c>
      <c r="B559" s="86">
        <v>1210320010</v>
      </c>
      <c r="C559" s="88" t="s">
        <v>104</v>
      </c>
      <c r="D559" s="87" t="s">
        <v>105</v>
      </c>
      <c r="E559" s="16">
        <f>E560</f>
        <v>80</v>
      </c>
      <c r="F559" s="16">
        <f t="shared" si="199"/>
        <v>80</v>
      </c>
      <c r="G559" s="16">
        <f t="shared" si="199"/>
        <v>80</v>
      </c>
    </row>
    <row r="560" spans="1:7">
      <c r="A560" s="86" t="s">
        <v>44</v>
      </c>
      <c r="B560" s="86">
        <v>1210320010</v>
      </c>
      <c r="C560" s="86">
        <v>610</v>
      </c>
      <c r="D560" s="87" t="s">
        <v>115</v>
      </c>
      <c r="E560" s="16">
        <f>'№ 5'!F380</f>
        <v>80</v>
      </c>
      <c r="F560" s="16">
        <f>'№ 5'!G380</f>
        <v>80</v>
      </c>
      <c r="G560" s="16">
        <f>'№ 5'!H380</f>
        <v>80</v>
      </c>
    </row>
    <row r="561" spans="1:7" ht="31.5">
      <c r="A561" s="128" t="s">
        <v>44</v>
      </c>
      <c r="B561" s="128">
        <v>1210320030</v>
      </c>
      <c r="C561" s="128"/>
      <c r="D561" s="129" t="s">
        <v>476</v>
      </c>
      <c r="E561" s="16">
        <f>E562</f>
        <v>39.700000000000003</v>
      </c>
      <c r="F561" s="16">
        <f t="shared" ref="F561:G562" si="200">F562</f>
        <v>0</v>
      </c>
      <c r="G561" s="16">
        <f t="shared" si="200"/>
        <v>0</v>
      </c>
    </row>
    <row r="562" spans="1:7" ht="31.5">
      <c r="A562" s="128" t="s">
        <v>44</v>
      </c>
      <c r="B562" s="128">
        <v>1210320030</v>
      </c>
      <c r="C562" s="130" t="s">
        <v>104</v>
      </c>
      <c r="D562" s="129" t="s">
        <v>105</v>
      </c>
      <c r="E562" s="16">
        <f>E563</f>
        <v>39.700000000000003</v>
      </c>
      <c r="F562" s="16">
        <f t="shared" si="200"/>
        <v>0</v>
      </c>
      <c r="G562" s="16">
        <f t="shared" si="200"/>
        <v>0</v>
      </c>
    </row>
    <row r="563" spans="1:7">
      <c r="A563" s="128" t="s">
        <v>44</v>
      </c>
      <c r="B563" s="128">
        <v>1210320030</v>
      </c>
      <c r="C563" s="128">
        <v>610</v>
      </c>
      <c r="D563" s="129" t="s">
        <v>115</v>
      </c>
      <c r="E563" s="16">
        <f>'№ 5'!F383</f>
        <v>39.700000000000003</v>
      </c>
      <c r="F563" s="16">
        <f>'№ 5'!G383</f>
        <v>0</v>
      </c>
      <c r="G563" s="16">
        <f>'№ 5'!H383</f>
        <v>0</v>
      </c>
    </row>
    <row r="564" spans="1:7" ht="31.5">
      <c r="A564" s="86" t="s">
        <v>44</v>
      </c>
      <c r="B564" s="88">
        <v>1220000000</v>
      </c>
      <c r="C564" s="86"/>
      <c r="D564" s="59" t="s">
        <v>162</v>
      </c>
      <c r="E564" s="16">
        <f>E565+E583+E575+E579</f>
        <v>27662.6</v>
      </c>
      <c r="F564" s="16">
        <f>F565+F583+F575+F579</f>
        <v>18381</v>
      </c>
      <c r="G564" s="16">
        <f>G565+G583+G575+G579</f>
        <v>19252.400000000001</v>
      </c>
    </row>
    <row r="565" spans="1:7" ht="33.75" customHeight="1">
      <c r="A565" s="86" t="s">
        <v>44</v>
      </c>
      <c r="B565" s="86">
        <v>1220100000</v>
      </c>
      <c r="C565" s="86"/>
      <c r="D565" s="59" t="s">
        <v>235</v>
      </c>
      <c r="E565" s="16">
        <f>E569+E566+E572</f>
        <v>25516</v>
      </c>
      <c r="F565" s="16">
        <f t="shared" ref="F565:G565" si="201">F569+F566+F572</f>
        <v>18381</v>
      </c>
      <c r="G565" s="16">
        <f t="shared" si="201"/>
        <v>18381</v>
      </c>
    </row>
    <row r="566" spans="1:7" ht="47.25">
      <c r="A566" s="86" t="s">
        <v>44</v>
      </c>
      <c r="B566" s="86">
        <v>1220110680</v>
      </c>
      <c r="C566" s="86"/>
      <c r="D566" s="73" t="s">
        <v>398</v>
      </c>
      <c r="E566" s="16">
        <f>E567</f>
        <v>7576.8</v>
      </c>
      <c r="F566" s="16">
        <f t="shared" ref="F566:G567" si="202">F567</f>
        <v>0</v>
      </c>
      <c r="G566" s="16">
        <f t="shared" si="202"/>
        <v>0</v>
      </c>
    </row>
    <row r="567" spans="1:7" ht="31.5">
      <c r="A567" s="86" t="s">
        <v>44</v>
      </c>
      <c r="B567" s="86">
        <v>1220110680</v>
      </c>
      <c r="C567" s="88" t="s">
        <v>104</v>
      </c>
      <c r="D567" s="66" t="s">
        <v>105</v>
      </c>
      <c r="E567" s="16">
        <f>E568</f>
        <v>7576.8</v>
      </c>
      <c r="F567" s="16">
        <f t="shared" si="202"/>
        <v>0</v>
      </c>
      <c r="G567" s="16">
        <f t="shared" si="202"/>
        <v>0</v>
      </c>
    </row>
    <row r="568" spans="1:7">
      <c r="A568" s="86" t="s">
        <v>44</v>
      </c>
      <c r="B568" s="86">
        <v>1220110680</v>
      </c>
      <c r="C568" s="86">
        <v>610</v>
      </c>
      <c r="D568" s="66" t="s">
        <v>115</v>
      </c>
      <c r="E568" s="16">
        <f>'№ 5'!F388</f>
        <v>7576.8</v>
      </c>
      <c r="F568" s="16">
        <f>'№ 5'!G388</f>
        <v>0</v>
      </c>
      <c r="G568" s="16">
        <f>'№ 5'!H388</f>
        <v>0</v>
      </c>
    </row>
    <row r="569" spans="1:7" ht="31.5">
      <c r="A569" s="86" t="s">
        <v>44</v>
      </c>
      <c r="B569" s="86">
        <v>1220120010</v>
      </c>
      <c r="C569" s="86"/>
      <c r="D569" s="59" t="s">
        <v>135</v>
      </c>
      <c r="E569" s="16">
        <f>E570</f>
        <v>17863.5</v>
      </c>
      <c r="F569" s="16">
        <f t="shared" ref="F569:G570" si="203">F570</f>
        <v>18381</v>
      </c>
      <c r="G569" s="16">
        <f t="shared" si="203"/>
        <v>18381</v>
      </c>
    </row>
    <row r="570" spans="1:7" ht="31.5">
      <c r="A570" s="86" t="s">
        <v>44</v>
      </c>
      <c r="B570" s="86">
        <v>1220120010</v>
      </c>
      <c r="C570" s="88" t="s">
        <v>104</v>
      </c>
      <c r="D570" s="87" t="s">
        <v>105</v>
      </c>
      <c r="E570" s="16">
        <f>E571</f>
        <v>17863.5</v>
      </c>
      <c r="F570" s="16">
        <f t="shared" si="203"/>
        <v>18381</v>
      </c>
      <c r="G570" s="16">
        <f t="shared" si="203"/>
        <v>18381</v>
      </c>
    </row>
    <row r="571" spans="1:7">
      <c r="A571" s="86" t="s">
        <v>44</v>
      </c>
      <c r="B571" s="86">
        <v>1220120010</v>
      </c>
      <c r="C571" s="86">
        <v>610</v>
      </c>
      <c r="D571" s="87" t="s">
        <v>115</v>
      </c>
      <c r="E571" s="16">
        <f>'№ 5'!F391</f>
        <v>17863.5</v>
      </c>
      <c r="F571" s="16">
        <f>'№ 5'!G391</f>
        <v>18381</v>
      </c>
      <c r="G571" s="16">
        <f>'№ 5'!H391</f>
        <v>18381</v>
      </c>
    </row>
    <row r="572" spans="1:7" ht="47.25">
      <c r="A572" s="86" t="s">
        <v>44</v>
      </c>
      <c r="B572" s="86" t="s">
        <v>401</v>
      </c>
      <c r="C572" s="86"/>
      <c r="D572" s="73" t="s">
        <v>400</v>
      </c>
      <c r="E572" s="16">
        <f>E573</f>
        <v>75.7</v>
      </c>
      <c r="F572" s="16">
        <f t="shared" ref="F572:G573" si="204">F573</f>
        <v>0</v>
      </c>
      <c r="G572" s="16">
        <f t="shared" si="204"/>
        <v>0</v>
      </c>
    </row>
    <row r="573" spans="1:7" ht="31.5">
      <c r="A573" s="86" t="s">
        <v>44</v>
      </c>
      <c r="B573" s="86" t="s">
        <v>401</v>
      </c>
      <c r="C573" s="88" t="s">
        <v>104</v>
      </c>
      <c r="D573" s="66" t="s">
        <v>105</v>
      </c>
      <c r="E573" s="16">
        <f>E574</f>
        <v>75.7</v>
      </c>
      <c r="F573" s="16">
        <f t="shared" si="204"/>
        <v>0</v>
      </c>
      <c r="G573" s="16">
        <f t="shared" si="204"/>
        <v>0</v>
      </c>
    </row>
    <row r="574" spans="1:7">
      <c r="A574" s="86" t="s">
        <v>44</v>
      </c>
      <c r="B574" s="86" t="s">
        <v>401</v>
      </c>
      <c r="C574" s="86">
        <v>610</v>
      </c>
      <c r="D574" s="66" t="s">
        <v>115</v>
      </c>
      <c r="E574" s="16">
        <f>'№ 5'!F394</f>
        <v>75.7</v>
      </c>
      <c r="F574" s="16">
        <f>'№ 5'!G394</f>
        <v>0</v>
      </c>
      <c r="G574" s="16">
        <f>'№ 5'!H394</f>
        <v>0</v>
      </c>
    </row>
    <row r="575" spans="1:7" ht="63">
      <c r="A575" s="86" t="s">
        <v>44</v>
      </c>
      <c r="B575" s="86">
        <v>1220200000</v>
      </c>
      <c r="C575" s="86"/>
      <c r="D575" s="66" t="s">
        <v>349</v>
      </c>
      <c r="E575" s="16">
        <f>E576</f>
        <v>406.1</v>
      </c>
      <c r="F575" s="16">
        <f t="shared" ref="F575:G577" si="205">F576</f>
        <v>0</v>
      </c>
      <c r="G575" s="16">
        <f t="shared" si="205"/>
        <v>0</v>
      </c>
    </row>
    <row r="576" spans="1:7" ht="31.5">
      <c r="A576" s="86" t="s">
        <v>44</v>
      </c>
      <c r="B576" s="86">
        <v>1220220020</v>
      </c>
      <c r="C576" s="86"/>
      <c r="D576" s="66" t="s">
        <v>350</v>
      </c>
      <c r="E576" s="16">
        <f>E577</f>
        <v>406.1</v>
      </c>
      <c r="F576" s="16">
        <f t="shared" si="205"/>
        <v>0</v>
      </c>
      <c r="G576" s="16">
        <f t="shared" si="205"/>
        <v>0</v>
      </c>
    </row>
    <row r="577" spans="1:7" ht="31.5">
      <c r="A577" s="86" t="s">
        <v>44</v>
      </c>
      <c r="B577" s="86">
        <v>1220220020</v>
      </c>
      <c r="C577" s="88" t="s">
        <v>104</v>
      </c>
      <c r="D577" s="66" t="s">
        <v>105</v>
      </c>
      <c r="E577" s="16">
        <f>E578</f>
        <v>406.1</v>
      </c>
      <c r="F577" s="16">
        <f t="shared" si="205"/>
        <v>0</v>
      </c>
      <c r="G577" s="16">
        <f t="shared" si="205"/>
        <v>0</v>
      </c>
    </row>
    <row r="578" spans="1:7">
      <c r="A578" s="86" t="s">
        <v>44</v>
      </c>
      <c r="B578" s="86">
        <v>1220220020</v>
      </c>
      <c r="C578" s="86">
        <v>610</v>
      </c>
      <c r="D578" s="66" t="s">
        <v>115</v>
      </c>
      <c r="E578" s="16">
        <f>'№ 5'!F398</f>
        <v>406.1</v>
      </c>
      <c r="F578" s="16">
        <f>'№ 5'!G398</f>
        <v>0</v>
      </c>
      <c r="G578" s="16">
        <f>'№ 5'!H398</f>
        <v>0</v>
      </c>
    </row>
    <row r="579" spans="1:7" ht="47.25">
      <c r="A579" s="86" t="s">
        <v>44</v>
      </c>
      <c r="B579" s="86">
        <v>1220300000</v>
      </c>
      <c r="C579" s="86"/>
      <c r="D579" s="66" t="s">
        <v>381</v>
      </c>
      <c r="E579" s="16">
        <f>E580</f>
        <v>379.40000000000003</v>
      </c>
      <c r="F579" s="16">
        <f t="shared" ref="F579:G581" si="206">F580</f>
        <v>0</v>
      </c>
      <c r="G579" s="16">
        <f t="shared" si="206"/>
        <v>0</v>
      </c>
    </row>
    <row r="580" spans="1:7" ht="31.5">
      <c r="A580" s="86" t="s">
        <v>44</v>
      </c>
      <c r="B580" s="86" t="s">
        <v>382</v>
      </c>
      <c r="C580" s="86"/>
      <c r="D580" s="66" t="s">
        <v>402</v>
      </c>
      <c r="E580" s="16">
        <f>E581</f>
        <v>379.40000000000003</v>
      </c>
      <c r="F580" s="16">
        <f t="shared" si="206"/>
        <v>0</v>
      </c>
      <c r="G580" s="16">
        <f t="shared" si="206"/>
        <v>0</v>
      </c>
    </row>
    <row r="581" spans="1:7" ht="31.5">
      <c r="A581" s="86" t="s">
        <v>44</v>
      </c>
      <c r="B581" s="86" t="s">
        <v>382</v>
      </c>
      <c r="C581" s="88" t="s">
        <v>104</v>
      </c>
      <c r="D581" s="66" t="s">
        <v>105</v>
      </c>
      <c r="E581" s="16">
        <f>E582</f>
        <v>379.40000000000003</v>
      </c>
      <c r="F581" s="16">
        <f t="shared" si="206"/>
        <v>0</v>
      </c>
      <c r="G581" s="16">
        <f t="shared" si="206"/>
        <v>0</v>
      </c>
    </row>
    <row r="582" spans="1:7">
      <c r="A582" s="86" t="s">
        <v>44</v>
      </c>
      <c r="B582" s="86" t="s">
        <v>382</v>
      </c>
      <c r="C582" s="86">
        <v>610</v>
      </c>
      <c r="D582" s="66" t="s">
        <v>115</v>
      </c>
      <c r="E582" s="16">
        <f>'№ 5'!F402</f>
        <v>379.40000000000003</v>
      </c>
      <c r="F582" s="16">
        <f>'№ 5'!G402</f>
        <v>0</v>
      </c>
      <c r="G582" s="16">
        <f>'№ 5'!H402</f>
        <v>0</v>
      </c>
    </row>
    <row r="583" spans="1:7" ht="31.5">
      <c r="A583" s="86" t="s">
        <v>44</v>
      </c>
      <c r="B583" s="86">
        <v>1220500000</v>
      </c>
      <c r="C583" s="86"/>
      <c r="D583" s="59" t="s">
        <v>236</v>
      </c>
      <c r="E583" s="16">
        <f>E584</f>
        <v>1361.1000000000001</v>
      </c>
      <c r="F583" s="16">
        <f t="shared" ref="F583:G585" si="207">F584</f>
        <v>0</v>
      </c>
      <c r="G583" s="16">
        <f t="shared" si="207"/>
        <v>871.4</v>
      </c>
    </row>
    <row r="584" spans="1:7">
      <c r="A584" s="86" t="s">
        <v>44</v>
      </c>
      <c r="B584" s="86">
        <v>1220520320</v>
      </c>
      <c r="C584" s="86"/>
      <c r="D584" s="59" t="s">
        <v>163</v>
      </c>
      <c r="E584" s="16">
        <f>E585</f>
        <v>1361.1000000000001</v>
      </c>
      <c r="F584" s="16">
        <f t="shared" si="207"/>
        <v>0</v>
      </c>
      <c r="G584" s="16">
        <f t="shared" si="207"/>
        <v>871.4</v>
      </c>
    </row>
    <row r="585" spans="1:7" ht="31.5">
      <c r="A585" s="86" t="s">
        <v>44</v>
      </c>
      <c r="B585" s="86">
        <v>1220520320</v>
      </c>
      <c r="C585" s="88" t="s">
        <v>104</v>
      </c>
      <c r="D585" s="87" t="s">
        <v>105</v>
      </c>
      <c r="E585" s="16">
        <f>E586</f>
        <v>1361.1000000000001</v>
      </c>
      <c r="F585" s="16">
        <f t="shared" si="207"/>
        <v>0</v>
      </c>
      <c r="G585" s="16">
        <f t="shared" si="207"/>
        <v>871.4</v>
      </c>
    </row>
    <row r="586" spans="1:7">
      <c r="A586" s="86" t="s">
        <v>44</v>
      </c>
      <c r="B586" s="86">
        <v>1220520320</v>
      </c>
      <c r="C586" s="86">
        <v>610</v>
      </c>
      <c r="D586" s="87" t="s">
        <v>115</v>
      </c>
      <c r="E586" s="16">
        <f>'№ 5'!F406</f>
        <v>1361.1000000000001</v>
      </c>
      <c r="F586" s="16">
        <f>'№ 5'!G406</f>
        <v>0</v>
      </c>
      <c r="G586" s="16">
        <f>'№ 5'!H406</f>
        <v>871.4</v>
      </c>
    </row>
    <row r="587" spans="1:7">
      <c r="A587" s="86" t="s">
        <v>44</v>
      </c>
      <c r="B587" s="86">
        <v>9900000000</v>
      </c>
      <c r="C587" s="86"/>
      <c r="D587" s="66" t="s">
        <v>116</v>
      </c>
      <c r="E587" s="16">
        <f>E588</f>
        <v>242</v>
      </c>
      <c r="F587" s="16">
        <f t="shared" ref="F587:G590" si="208">F588</f>
        <v>0</v>
      </c>
      <c r="G587" s="16">
        <f t="shared" si="208"/>
        <v>0</v>
      </c>
    </row>
    <row r="588" spans="1:7" ht="47.25">
      <c r="A588" s="86" t="s">
        <v>44</v>
      </c>
      <c r="B588" s="86">
        <v>9920000000</v>
      </c>
      <c r="C588" s="86"/>
      <c r="D588" s="66" t="s">
        <v>408</v>
      </c>
      <c r="E588" s="16">
        <f>E589</f>
        <v>242</v>
      </c>
      <c r="F588" s="16">
        <f t="shared" si="208"/>
        <v>0</v>
      </c>
      <c r="G588" s="16">
        <f t="shared" si="208"/>
        <v>0</v>
      </c>
    </row>
    <row r="589" spans="1:7" ht="47.25">
      <c r="A589" s="86" t="s">
        <v>44</v>
      </c>
      <c r="B589" s="86">
        <v>9920010920</v>
      </c>
      <c r="C589" s="86"/>
      <c r="D589" s="66" t="s">
        <v>409</v>
      </c>
      <c r="E589" s="16">
        <f>E590</f>
        <v>242</v>
      </c>
      <c r="F589" s="16">
        <f t="shared" si="208"/>
        <v>0</v>
      </c>
      <c r="G589" s="16">
        <f t="shared" si="208"/>
        <v>0</v>
      </c>
    </row>
    <row r="590" spans="1:7" ht="31.5">
      <c r="A590" s="86" t="s">
        <v>44</v>
      </c>
      <c r="B590" s="86">
        <v>9920010920</v>
      </c>
      <c r="C590" s="88" t="s">
        <v>104</v>
      </c>
      <c r="D590" s="66" t="s">
        <v>105</v>
      </c>
      <c r="E590" s="16">
        <f>E591</f>
        <v>242</v>
      </c>
      <c r="F590" s="16">
        <f t="shared" si="208"/>
        <v>0</v>
      </c>
      <c r="G590" s="16">
        <f t="shared" si="208"/>
        <v>0</v>
      </c>
    </row>
    <row r="591" spans="1:7">
      <c r="A591" s="86" t="s">
        <v>44</v>
      </c>
      <c r="B591" s="86">
        <v>9920010920</v>
      </c>
      <c r="C591" s="86">
        <v>610</v>
      </c>
      <c r="D591" s="66" t="s">
        <v>115</v>
      </c>
      <c r="E591" s="16">
        <f>'№ 5'!F411</f>
        <v>242</v>
      </c>
      <c r="F591" s="16">
        <f>'№ 5'!G411</f>
        <v>0</v>
      </c>
      <c r="G591" s="16">
        <f>'№ 5'!H411</f>
        <v>0</v>
      </c>
    </row>
    <row r="592" spans="1:7">
      <c r="A592" s="4" t="s">
        <v>41</v>
      </c>
      <c r="B592" s="4" t="s">
        <v>69</v>
      </c>
      <c r="C592" s="4" t="s">
        <v>69</v>
      </c>
      <c r="D592" s="44" t="s">
        <v>33</v>
      </c>
      <c r="E592" s="43">
        <f>E593+E602+E622</f>
        <v>27023.5</v>
      </c>
      <c r="F592" s="43">
        <f>F593+F602+F622</f>
        <v>22688.6</v>
      </c>
      <c r="G592" s="43">
        <f>G593+G602+G622</f>
        <v>25600.5</v>
      </c>
    </row>
    <row r="593" spans="1:7">
      <c r="A593" s="89" t="s">
        <v>56</v>
      </c>
      <c r="B593" s="89" t="s">
        <v>69</v>
      </c>
      <c r="C593" s="89" t="s">
        <v>69</v>
      </c>
      <c r="D593" s="90" t="s">
        <v>34</v>
      </c>
      <c r="E593" s="7">
        <f>E594</f>
        <v>1114.1999999999998</v>
      </c>
      <c r="F593" s="7">
        <f t="shared" ref="F593:G596" si="209">F594</f>
        <v>1639.8999999999999</v>
      </c>
      <c r="G593" s="7">
        <f t="shared" si="209"/>
        <v>1639.8999999999999</v>
      </c>
    </row>
    <row r="594" spans="1:7" ht="47.25">
      <c r="A594" s="86" t="s">
        <v>56</v>
      </c>
      <c r="B594" s="88">
        <v>1200000000</v>
      </c>
      <c r="C594" s="86"/>
      <c r="D594" s="59" t="s">
        <v>216</v>
      </c>
      <c r="E594" s="16">
        <f>E595</f>
        <v>1114.1999999999998</v>
      </c>
      <c r="F594" s="16">
        <f t="shared" si="209"/>
        <v>1639.8999999999999</v>
      </c>
      <c r="G594" s="16">
        <f t="shared" si="209"/>
        <v>1639.8999999999999</v>
      </c>
    </row>
    <row r="595" spans="1:7" ht="31.5">
      <c r="A595" s="86" t="s">
        <v>56</v>
      </c>
      <c r="B595" s="88">
        <v>1240000000</v>
      </c>
      <c r="C595" s="86"/>
      <c r="D595" s="59" t="s">
        <v>150</v>
      </c>
      <c r="E595" s="16">
        <f>E596</f>
        <v>1114.1999999999998</v>
      </c>
      <c r="F595" s="16">
        <f t="shared" si="209"/>
        <v>1639.8999999999999</v>
      </c>
      <c r="G595" s="16">
        <f t="shared" si="209"/>
        <v>1639.8999999999999</v>
      </c>
    </row>
    <row r="596" spans="1:7">
      <c r="A596" s="86" t="s">
        <v>56</v>
      </c>
      <c r="B596" s="86">
        <v>1240400000</v>
      </c>
      <c r="C596" s="86"/>
      <c r="D596" s="59" t="s">
        <v>237</v>
      </c>
      <c r="E596" s="16">
        <f>E597</f>
        <v>1114.1999999999998</v>
      </c>
      <c r="F596" s="16">
        <f t="shared" si="209"/>
        <v>1639.8999999999999</v>
      </c>
      <c r="G596" s="16">
        <f t="shared" si="209"/>
        <v>1639.8999999999999</v>
      </c>
    </row>
    <row r="597" spans="1:7" ht="47.25">
      <c r="A597" s="86" t="s">
        <v>56</v>
      </c>
      <c r="B597" s="86">
        <v>1240420390</v>
      </c>
      <c r="C597" s="86"/>
      <c r="D597" s="59" t="s">
        <v>70</v>
      </c>
      <c r="E597" s="16">
        <f>E598+E600</f>
        <v>1114.1999999999998</v>
      </c>
      <c r="F597" s="16">
        <f t="shared" ref="F597:G597" si="210">F598+F600</f>
        <v>1639.8999999999999</v>
      </c>
      <c r="G597" s="16">
        <f t="shared" si="210"/>
        <v>1639.8999999999999</v>
      </c>
    </row>
    <row r="598" spans="1:7" ht="31.5">
      <c r="A598" s="86" t="s">
        <v>56</v>
      </c>
      <c r="B598" s="86">
        <v>1240420390</v>
      </c>
      <c r="C598" s="88" t="s">
        <v>72</v>
      </c>
      <c r="D598" s="87" t="s">
        <v>102</v>
      </c>
      <c r="E598" s="16">
        <f>E599</f>
        <v>0</v>
      </c>
      <c r="F598" s="16">
        <f t="shared" ref="F598:G598" si="211">F599</f>
        <v>47.8</v>
      </c>
      <c r="G598" s="16">
        <f t="shared" si="211"/>
        <v>47.8</v>
      </c>
    </row>
    <row r="599" spans="1:7" ht="31.5">
      <c r="A599" s="86" t="s">
        <v>56</v>
      </c>
      <c r="B599" s="86">
        <v>1240420390</v>
      </c>
      <c r="C599" s="86">
        <v>240</v>
      </c>
      <c r="D599" s="87" t="s">
        <v>315</v>
      </c>
      <c r="E599" s="16">
        <f>'№ 5'!F419</f>
        <v>0</v>
      </c>
      <c r="F599" s="16">
        <f>'№ 5'!G419</f>
        <v>47.8</v>
      </c>
      <c r="G599" s="16">
        <f>'№ 5'!H419</f>
        <v>47.8</v>
      </c>
    </row>
    <row r="600" spans="1:7">
      <c r="A600" s="86" t="s">
        <v>56</v>
      </c>
      <c r="B600" s="86">
        <v>1240420390</v>
      </c>
      <c r="C600" s="88" t="s">
        <v>76</v>
      </c>
      <c r="D600" s="87" t="s">
        <v>77</v>
      </c>
      <c r="E600" s="16">
        <f>E601</f>
        <v>1114.1999999999998</v>
      </c>
      <c r="F600" s="16">
        <f t="shared" ref="F600:G600" si="212">F601</f>
        <v>1592.1</v>
      </c>
      <c r="G600" s="16">
        <f t="shared" si="212"/>
        <v>1592.1</v>
      </c>
    </row>
    <row r="601" spans="1:7">
      <c r="A601" s="86" t="s">
        <v>56</v>
      </c>
      <c r="B601" s="86">
        <v>1240420390</v>
      </c>
      <c r="C601" s="88" t="s">
        <v>164</v>
      </c>
      <c r="D601" s="87" t="s">
        <v>165</v>
      </c>
      <c r="E601" s="16">
        <f>'№ 5'!F421</f>
        <v>1114.1999999999998</v>
      </c>
      <c r="F601" s="16">
        <f>'№ 5'!G421</f>
        <v>1592.1</v>
      </c>
      <c r="G601" s="16">
        <f>'№ 5'!H421</f>
        <v>1592.1</v>
      </c>
    </row>
    <row r="602" spans="1:7">
      <c r="A602" s="86" t="s">
        <v>42</v>
      </c>
      <c r="B602" s="86" t="s">
        <v>69</v>
      </c>
      <c r="C602" s="86" t="s">
        <v>69</v>
      </c>
      <c r="D602" s="59" t="s">
        <v>36</v>
      </c>
      <c r="E602" s="16">
        <f>E603</f>
        <v>9066</v>
      </c>
      <c r="F602" s="16">
        <f t="shared" ref="F602:G602" si="213">F603</f>
        <v>2248</v>
      </c>
      <c r="G602" s="16">
        <f t="shared" si="213"/>
        <v>266.10000000000002</v>
      </c>
    </row>
    <row r="603" spans="1:7" ht="47.25">
      <c r="A603" s="86" t="s">
        <v>42</v>
      </c>
      <c r="B603" s="88">
        <v>1200000000</v>
      </c>
      <c r="C603" s="86"/>
      <c r="D603" s="59" t="s">
        <v>216</v>
      </c>
      <c r="E603" s="16">
        <f>E604</f>
        <v>9066</v>
      </c>
      <c r="F603" s="16">
        <f t="shared" ref="F603:G605" si="214">F604</f>
        <v>2248</v>
      </c>
      <c r="G603" s="16">
        <f t="shared" si="214"/>
        <v>266.10000000000002</v>
      </c>
    </row>
    <row r="604" spans="1:7" ht="31.5">
      <c r="A604" s="86" t="s">
        <v>42</v>
      </c>
      <c r="B604" s="88">
        <v>1240000000</v>
      </c>
      <c r="C604" s="86"/>
      <c r="D604" s="59" t="s">
        <v>150</v>
      </c>
      <c r="E604" s="16">
        <f>E605+E609+E615</f>
        <v>9066</v>
      </c>
      <c r="F604" s="16">
        <f t="shared" ref="F604:G604" si="215">F605+F609+F615</f>
        <v>2248</v>
      </c>
      <c r="G604" s="16">
        <f t="shared" si="215"/>
        <v>266.10000000000002</v>
      </c>
    </row>
    <row r="605" spans="1:7" ht="31.5">
      <c r="A605" s="86" t="s">
        <v>42</v>
      </c>
      <c r="B605" s="88">
        <v>1240100000</v>
      </c>
      <c r="C605" s="86"/>
      <c r="D605" s="59" t="s">
        <v>238</v>
      </c>
      <c r="E605" s="16">
        <f>E606</f>
        <v>508</v>
      </c>
      <c r="F605" s="16">
        <f t="shared" si="214"/>
        <v>0</v>
      </c>
      <c r="G605" s="16">
        <f t="shared" si="214"/>
        <v>0</v>
      </c>
    </row>
    <row r="606" spans="1:7" ht="31.5">
      <c r="A606" s="86" t="s">
        <v>42</v>
      </c>
      <c r="B606" s="88">
        <v>1240120330</v>
      </c>
      <c r="C606" s="86"/>
      <c r="D606" s="59" t="s">
        <v>167</v>
      </c>
      <c r="E606" s="16">
        <f>E607</f>
        <v>508</v>
      </c>
      <c r="F606" s="16">
        <f t="shared" ref="F606:G607" si="216">F607</f>
        <v>0</v>
      </c>
      <c r="G606" s="16">
        <f t="shared" si="216"/>
        <v>0</v>
      </c>
    </row>
    <row r="607" spans="1:7" ht="31.5">
      <c r="A607" s="86" t="s">
        <v>42</v>
      </c>
      <c r="B607" s="88">
        <v>1240120330</v>
      </c>
      <c r="C607" s="88" t="s">
        <v>104</v>
      </c>
      <c r="D607" s="87" t="s">
        <v>105</v>
      </c>
      <c r="E607" s="16">
        <f>E608</f>
        <v>508</v>
      </c>
      <c r="F607" s="16">
        <f t="shared" si="216"/>
        <v>0</v>
      </c>
      <c r="G607" s="16">
        <f t="shared" si="216"/>
        <v>0</v>
      </c>
    </row>
    <row r="608" spans="1:7" ht="31.5">
      <c r="A608" s="86" t="s">
        <v>42</v>
      </c>
      <c r="B608" s="88">
        <v>1240120330</v>
      </c>
      <c r="C608" s="86">
        <v>630</v>
      </c>
      <c r="D608" s="59" t="s">
        <v>168</v>
      </c>
      <c r="E608" s="16">
        <f>'№ 5'!F428</f>
        <v>508</v>
      </c>
      <c r="F608" s="16">
        <f>'№ 5'!G428</f>
        <v>0</v>
      </c>
      <c r="G608" s="16">
        <f>'№ 5'!H428</f>
        <v>0</v>
      </c>
    </row>
    <row r="609" spans="1:7" ht="31.5">
      <c r="A609" s="86" t="s">
        <v>42</v>
      </c>
      <c r="B609" s="88">
        <v>1240200000</v>
      </c>
      <c r="C609" s="86"/>
      <c r="D609" s="59" t="s">
        <v>169</v>
      </c>
      <c r="E609" s="16">
        <f>E610</f>
        <v>72</v>
      </c>
      <c r="F609" s="16">
        <f t="shared" ref="F609:G609" si="217">F610</f>
        <v>107.1</v>
      </c>
      <c r="G609" s="16">
        <f t="shared" si="217"/>
        <v>107.1</v>
      </c>
    </row>
    <row r="610" spans="1:7" ht="31.5">
      <c r="A610" s="86" t="s">
        <v>42</v>
      </c>
      <c r="B610" s="88">
        <v>1240220350</v>
      </c>
      <c r="C610" s="86"/>
      <c r="D610" s="59" t="s">
        <v>239</v>
      </c>
      <c r="E610" s="16">
        <f>E611+E613</f>
        <v>72</v>
      </c>
      <c r="F610" s="16">
        <f t="shared" ref="F610:G610" si="218">F611+F613</f>
        <v>107.1</v>
      </c>
      <c r="G610" s="16">
        <f t="shared" si="218"/>
        <v>107.1</v>
      </c>
    </row>
    <row r="611" spans="1:7" ht="31.5">
      <c r="A611" s="86" t="s">
        <v>42</v>
      </c>
      <c r="B611" s="88">
        <v>1240220350</v>
      </c>
      <c r="C611" s="88" t="s">
        <v>72</v>
      </c>
      <c r="D611" s="87" t="s">
        <v>102</v>
      </c>
      <c r="E611" s="16">
        <f>E612</f>
        <v>0</v>
      </c>
      <c r="F611" s="16">
        <f t="shared" ref="F611:G611" si="219">F612</f>
        <v>3.1</v>
      </c>
      <c r="G611" s="16">
        <f t="shared" si="219"/>
        <v>3.1</v>
      </c>
    </row>
    <row r="612" spans="1:7" ht="31.5">
      <c r="A612" s="86" t="s">
        <v>42</v>
      </c>
      <c r="B612" s="88">
        <v>1240220350</v>
      </c>
      <c r="C612" s="86">
        <v>240</v>
      </c>
      <c r="D612" s="59" t="s">
        <v>315</v>
      </c>
      <c r="E612" s="16">
        <f>'№ 5'!F432</f>
        <v>0</v>
      </c>
      <c r="F612" s="16">
        <f>'№ 5'!G432</f>
        <v>3.1</v>
      </c>
      <c r="G612" s="16">
        <f>'№ 5'!H432</f>
        <v>3.1</v>
      </c>
    </row>
    <row r="613" spans="1:7">
      <c r="A613" s="86" t="s">
        <v>42</v>
      </c>
      <c r="B613" s="88">
        <v>1240220350</v>
      </c>
      <c r="C613" s="86" t="s">
        <v>76</v>
      </c>
      <c r="D613" s="59" t="s">
        <v>77</v>
      </c>
      <c r="E613" s="16">
        <f>E614</f>
        <v>72</v>
      </c>
      <c r="F613" s="16">
        <f t="shared" ref="F613:G613" si="220">F614</f>
        <v>104</v>
      </c>
      <c r="G613" s="16">
        <f t="shared" si="220"/>
        <v>104</v>
      </c>
    </row>
    <row r="614" spans="1:7">
      <c r="A614" s="86" t="s">
        <v>42</v>
      </c>
      <c r="B614" s="88">
        <v>1240220350</v>
      </c>
      <c r="C614" s="86" t="s">
        <v>164</v>
      </c>
      <c r="D614" s="59" t="s">
        <v>165</v>
      </c>
      <c r="E614" s="16">
        <f>'№ 5'!F434</f>
        <v>72</v>
      </c>
      <c r="F614" s="16">
        <f>'№ 5'!G434</f>
        <v>104</v>
      </c>
      <c r="G614" s="16">
        <f>'№ 5'!H434</f>
        <v>104</v>
      </c>
    </row>
    <row r="615" spans="1:7">
      <c r="A615" s="86" t="s">
        <v>42</v>
      </c>
      <c r="B615" s="86">
        <v>1240400000</v>
      </c>
      <c r="C615" s="86"/>
      <c r="D615" s="59" t="s">
        <v>237</v>
      </c>
      <c r="E615" s="16">
        <f>E616+E619</f>
        <v>8486</v>
      </c>
      <c r="F615" s="16">
        <f t="shared" ref="F615:G615" si="221">F616+F619</f>
        <v>2140.9</v>
      </c>
      <c r="G615" s="16">
        <f t="shared" si="221"/>
        <v>159</v>
      </c>
    </row>
    <row r="616" spans="1:7" ht="31.5">
      <c r="A616" s="86" t="s">
        <v>42</v>
      </c>
      <c r="B616" s="86">
        <v>1240420380</v>
      </c>
      <c r="C616" s="86"/>
      <c r="D616" s="59" t="s">
        <v>166</v>
      </c>
      <c r="E616" s="16">
        <f>E617</f>
        <v>159</v>
      </c>
      <c r="F616" s="16">
        <f t="shared" ref="F616:G617" si="222">F617</f>
        <v>159</v>
      </c>
      <c r="G616" s="16">
        <f t="shared" si="222"/>
        <v>159</v>
      </c>
    </row>
    <row r="617" spans="1:7">
      <c r="A617" s="86" t="s">
        <v>42</v>
      </c>
      <c r="B617" s="86">
        <v>1240420380</v>
      </c>
      <c r="C617" s="88" t="s">
        <v>76</v>
      </c>
      <c r="D617" s="87" t="s">
        <v>77</v>
      </c>
      <c r="E617" s="16">
        <f>E618</f>
        <v>159</v>
      </c>
      <c r="F617" s="16">
        <f t="shared" si="222"/>
        <v>159</v>
      </c>
      <c r="G617" s="16">
        <f t="shared" si="222"/>
        <v>159</v>
      </c>
    </row>
    <row r="618" spans="1:7" ht="31.5">
      <c r="A618" s="86" t="s">
        <v>42</v>
      </c>
      <c r="B618" s="86">
        <v>1240420380</v>
      </c>
      <c r="C618" s="88" t="s">
        <v>112</v>
      </c>
      <c r="D618" s="87" t="s">
        <v>113</v>
      </c>
      <c r="E618" s="16">
        <f>'№ 5'!F438</f>
        <v>159</v>
      </c>
      <c r="F618" s="16">
        <f>'№ 5'!G438</f>
        <v>159</v>
      </c>
      <c r="G618" s="16">
        <f>'№ 5'!H438</f>
        <v>159</v>
      </c>
    </row>
    <row r="619" spans="1:7">
      <c r="A619" s="86" t="s">
        <v>42</v>
      </c>
      <c r="B619" s="86" t="s">
        <v>284</v>
      </c>
      <c r="C619" s="86"/>
      <c r="D619" s="87" t="s">
        <v>283</v>
      </c>
      <c r="E619" s="16">
        <f>E620</f>
        <v>8327</v>
      </c>
      <c r="F619" s="16">
        <f t="shared" ref="F619:G620" si="223">F620</f>
        <v>1981.9</v>
      </c>
      <c r="G619" s="16">
        <f t="shared" si="223"/>
        <v>0</v>
      </c>
    </row>
    <row r="620" spans="1:7">
      <c r="A620" s="86" t="s">
        <v>42</v>
      </c>
      <c r="B620" s="86" t="s">
        <v>284</v>
      </c>
      <c r="C620" s="1" t="s">
        <v>76</v>
      </c>
      <c r="D620" s="57" t="s">
        <v>77</v>
      </c>
      <c r="E620" s="16">
        <f>E621</f>
        <v>8327</v>
      </c>
      <c r="F620" s="16">
        <f t="shared" si="223"/>
        <v>1981.9</v>
      </c>
      <c r="G620" s="16">
        <f t="shared" si="223"/>
        <v>0</v>
      </c>
    </row>
    <row r="621" spans="1:7" ht="31.5">
      <c r="A621" s="86" t="s">
        <v>42</v>
      </c>
      <c r="B621" s="86" t="s">
        <v>284</v>
      </c>
      <c r="C621" s="1" t="s">
        <v>112</v>
      </c>
      <c r="D621" s="57" t="s">
        <v>113</v>
      </c>
      <c r="E621" s="16">
        <f>'№ 5'!F441</f>
        <v>8327</v>
      </c>
      <c r="F621" s="16">
        <f>'№ 5'!G441</f>
        <v>1981.9</v>
      </c>
      <c r="G621" s="16">
        <f>'№ 5'!H441</f>
        <v>0</v>
      </c>
    </row>
    <row r="622" spans="1:7">
      <c r="A622" s="89" t="s">
        <v>88</v>
      </c>
      <c r="B622" s="89" t="s">
        <v>69</v>
      </c>
      <c r="C622" s="89" t="s">
        <v>69</v>
      </c>
      <c r="D622" s="90" t="s">
        <v>89</v>
      </c>
      <c r="E622" s="71">
        <f>E623+E631</f>
        <v>16843.3</v>
      </c>
      <c r="F622" s="71">
        <f t="shared" ref="F622:G622" si="224">F623+F631</f>
        <v>18800.7</v>
      </c>
      <c r="G622" s="71">
        <f t="shared" si="224"/>
        <v>23694.5</v>
      </c>
    </row>
    <row r="623" spans="1:7" ht="36" customHeight="1">
      <c r="A623" s="86" t="s">
        <v>88</v>
      </c>
      <c r="B623" s="88">
        <v>1100000000</v>
      </c>
      <c r="C623" s="86"/>
      <c r="D623" s="87" t="s">
        <v>221</v>
      </c>
      <c r="E623" s="16">
        <f>E624</f>
        <v>10970.6</v>
      </c>
      <c r="F623" s="16">
        <f t="shared" ref="F623:G625" si="225">F624</f>
        <v>10970.6</v>
      </c>
      <c r="G623" s="16">
        <f t="shared" si="225"/>
        <v>10970.6</v>
      </c>
    </row>
    <row r="624" spans="1:7">
      <c r="A624" s="86" t="s">
        <v>88</v>
      </c>
      <c r="B624" s="86">
        <v>1110000000</v>
      </c>
      <c r="C624" s="86"/>
      <c r="D624" s="59" t="s">
        <v>200</v>
      </c>
      <c r="E624" s="16">
        <f>E625</f>
        <v>10970.6</v>
      </c>
      <c r="F624" s="16">
        <f t="shared" si="225"/>
        <v>10970.6</v>
      </c>
      <c r="G624" s="16">
        <f t="shared" si="225"/>
        <v>10970.6</v>
      </c>
    </row>
    <row r="625" spans="1:7" ht="47.25">
      <c r="A625" s="86" t="s">
        <v>88</v>
      </c>
      <c r="B625" s="86">
        <v>1110200000</v>
      </c>
      <c r="C625" s="86"/>
      <c r="D625" s="59" t="s">
        <v>215</v>
      </c>
      <c r="E625" s="16">
        <f>E626</f>
        <v>10970.6</v>
      </c>
      <c r="F625" s="16">
        <f t="shared" si="225"/>
        <v>10970.6</v>
      </c>
      <c r="G625" s="16">
        <f t="shared" si="225"/>
        <v>10970.6</v>
      </c>
    </row>
    <row r="626" spans="1:7" ht="78.75">
      <c r="A626" s="86" t="s">
        <v>88</v>
      </c>
      <c r="B626" s="86">
        <v>1110210500</v>
      </c>
      <c r="C626" s="86"/>
      <c r="D626" s="87" t="s">
        <v>275</v>
      </c>
      <c r="E626" s="16">
        <f>E627+E629</f>
        <v>10970.6</v>
      </c>
      <c r="F626" s="16">
        <f t="shared" ref="F626:G626" si="226">F627+F629</f>
        <v>10970.6</v>
      </c>
      <c r="G626" s="16">
        <f t="shared" si="226"/>
        <v>10970.6</v>
      </c>
    </row>
    <row r="627" spans="1:7" ht="31.5">
      <c r="A627" s="86" t="s">
        <v>88</v>
      </c>
      <c r="B627" s="86">
        <v>1110210500</v>
      </c>
      <c r="C627" s="86" t="s">
        <v>72</v>
      </c>
      <c r="D627" s="59" t="s">
        <v>102</v>
      </c>
      <c r="E627" s="16">
        <f>E628</f>
        <v>258.10000000000002</v>
      </c>
      <c r="F627" s="16">
        <f t="shared" ref="F627:G627" si="227">F628</f>
        <v>267.60000000000002</v>
      </c>
      <c r="G627" s="16">
        <f t="shared" si="227"/>
        <v>267.60000000000002</v>
      </c>
    </row>
    <row r="628" spans="1:7" ht="33.75" customHeight="1">
      <c r="A628" s="86" t="s">
        <v>88</v>
      </c>
      <c r="B628" s="86">
        <v>1110210500</v>
      </c>
      <c r="C628" s="86">
        <v>240</v>
      </c>
      <c r="D628" s="59" t="s">
        <v>110</v>
      </c>
      <c r="E628" s="16">
        <f>'№ 5'!F784</f>
        <v>258.10000000000002</v>
      </c>
      <c r="F628" s="16">
        <f>'№ 5'!G784</f>
        <v>267.60000000000002</v>
      </c>
      <c r="G628" s="16">
        <f>'№ 5'!H784</f>
        <v>267.60000000000002</v>
      </c>
    </row>
    <row r="629" spans="1:7">
      <c r="A629" s="86" t="s">
        <v>88</v>
      </c>
      <c r="B629" s="86">
        <v>1110210500</v>
      </c>
      <c r="C629" s="86" t="s">
        <v>76</v>
      </c>
      <c r="D629" s="59" t="s">
        <v>77</v>
      </c>
      <c r="E629" s="16">
        <f>E630</f>
        <v>10712.5</v>
      </c>
      <c r="F629" s="16">
        <f t="shared" ref="F629:G629" si="228">F630</f>
        <v>10703</v>
      </c>
      <c r="G629" s="16">
        <f t="shared" si="228"/>
        <v>10703</v>
      </c>
    </row>
    <row r="630" spans="1:7" ht="31.5">
      <c r="A630" s="86" t="s">
        <v>88</v>
      </c>
      <c r="B630" s="86">
        <v>1110210500</v>
      </c>
      <c r="C630" s="1" t="s">
        <v>112</v>
      </c>
      <c r="D630" s="60" t="s">
        <v>113</v>
      </c>
      <c r="E630" s="16">
        <f>'№ 5'!F786</f>
        <v>10712.5</v>
      </c>
      <c r="F630" s="16">
        <f>'№ 5'!G786</f>
        <v>10703</v>
      </c>
      <c r="G630" s="16">
        <f>'№ 5'!H786</f>
        <v>10703</v>
      </c>
    </row>
    <row r="631" spans="1:7" ht="47.25">
      <c r="A631" s="88" t="s">
        <v>88</v>
      </c>
      <c r="B631" s="88">
        <v>1600000000</v>
      </c>
      <c r="C631" s="88"/>
      <c r="D631" s="87" t="s">
        <v>125</v>
      </c>
      <c r="E631" s="16">
        <f t="shared" ref="E631:G632" si="229">E632</f>
        <v>5872.6999999999989</v>
      </c>
      <c r="F631" s="16">
        <f t="shared" si="229"/>
        <v>7830.1</v>
      </c>
      <c r="G631" s="16">
        <f t="shared" si="229"/>
        <v>12723.9</v>
      </c>
    </row>
    <row r="632" spans="1:7" ht="31.5">
      <c r="A632" s="88" t="s">
        <v>88</v>
      </c>
      <c r="B632" s="88">
        <v>1620000000</v>
      </c>
      <c r="C632" s="88"/>
      <c r="D632" s="87" t="s">
        <v>118</v>
      </c>
      <c r="E632" s="16">
        <f t="shared" si="229"/>
        <v>5872.6999999999989</v>
      </c>
      <c r="F632" s="16">
        <f t="shared" si="229"/>
        <v>7830.1</v>
      </c>
      <c r="G632" s="16">
        <f t="shared" si="229"/>
        <v>12723.9</v>
      </c>
    </row>
    <row r="633" spans="1:7">
      <c r="A633" s="88" t="s">
        <v>88</v>
      </c>
      <c r="B633" s="88">
        <v>1620200000</v>
      </c>
      <c r="C633" s="88"/>
      <c r="D633" s="87" t="s">
        <v>123</v>
      </c>
      <c r="E633" s="16">
        <f>E634+E637</f>
        <v>5872.6999999999989</v>
      </c>
      <c r="F633" s="16">
        <f t="shared" ref="F633:G633" si="230">F634+F637</f>
        <v>7830.1</v>
      </c>
      <c r="G633" s="16">
        <f t="shared" si="230"/>
        <v>12723.9</v>
      </c>
    </row>
    <row r="634" spans="1:7" ht="63">
      <c r="A634" s="88" t="s">
        <v>88</v>
      </c>
      <c r="B634" s="88">
        <v>1620210820</v>
      </c>
      <c r="C634" s="88"/>
      <c r="D634" s="87" t="s">
        <v>280</v>
      </c>
      <c r="E634" s="21">
        <f>E635</f>
        <v>3915.0999999999995</v>
      </c>
      <c r="F634" s="21">
        <f t="shared" ref="F634:G635" si="231">F635</f>
        <v>7830.1</v>
      </c>
      <c r="G634" s="21">
        <f t="shared" si="231"/>
        <v>12723.9</v>
      </c>
    </row>
    <row r="635" spans="1:7" ht="31.5">
      <c r="A635" s="88" t="s">
        <v>88</v>
      </c>
      <c r="B635" s="88">
        <v>1620210820</v>
      </c>
      <c r="C635" s="88" t="s">
        <v>75</v>
      </c>
      <c r="D635" s="87" t="s">
        <v>103</v>
      </c>
      <c r="E635" s="21">
        <f>E636</f>
        <v>3915.0999999999995</v>
      </c>
      <c r="F635" s="21">
        <f t="shared" si="231"/>
        <v>7830.1</v>
      </c>
      <c r="G635" s="21">
        <f t="shared" si="231"/>
        <v>12723.9</v>
      </c>
    </row>
    <row r="636" spans="1:7">
      <c r="A636" s="88" t="s">
        <v>88</v>
      </c>
      <c r="B636" s="88">
        <v>1620210820</v>
      </c>
      <c r="C636" s="88" t="s">
        <v>131</v>
      </c>
      <c r="D636" s="87" t="s">
        <v>132</v>
      </c>
      <c r="E636" s="21">
        <f>'№ 5'!F579</f>
        <v>3915.0999999999995</v>
      </c>
      <c r="F636" s="21">
        <f>'№ 5'!G579</f>
        <v>7830.1</v>
      </c>
      <c r="G636" s="21">
        <f>'№ 5'!H579</f>
        <v>12723.9</v>
      </c>
    </row>
    <row r="637" spans="1:7" ht="47.25">
      <c r="A637" s="88" t="s">
        <v>88</v>
      </c>
      <c r="B637" s="88" t="s">
        <v>343</v>
      </c>
      <c r="C637" s="88"/>
      <c r="D637" s="66" t="s">
        <v>344</v>
      </c>
      <c r="E637" s="21">
        <f>E638</f>
        <v>1957.6</v>
      </c>
      <c r="F637" s="21">
        <f t="shared" ref="F637:G638" si="232">F638</f>
        <v>0</v>
      </c>
      <c r="G637" s="21">
        <f t="shared" si="232"/>
        <v>0</v>
      </c>
    </row>
    <row r="638" spans="1:7" ht="31.5">
      <c r="A638" s="88" t="s">
        <v>88</v>
      </c>
      <c r="B638" s="88" t="s">
        <v>343</v>
      </c>
      <c r="C638" s="88" t="s">
        <v>75</v>
      </c>
      <c r="D638" s="66" t="s">
        <v>103</v>
      </c>
      <c r="E638" s="21">
        <f>E639</f>
        <v>1957.6</v>
      </c>
      <c r="F638" s="21">
        <f t="shared" si="232"/>
        <v>0</v>
      </c>
      <c r="G638" s="21">
        <f t="shared" si="232"/>
        <v>0</v>
      </c>
    </row>
    <row r="639" spans="1:7">
      <c r="A639" s="88" t="s">
        <v>88</v>
      </c>
      <c r="B639" s="88" t="s">
        <v>343</v>
      </c>
      <c r="C639" s="88" t="s">
        <v>131</v>
      </c>
      <c r="D639" s="66" t="s">
        <v>132</v>
      </c>
      <c r="E639" s="21">
        <f>'№ 5'!F582</f>
        <v>1957.6</v>
      </c>
      <c r="F639" s="21">
        <f>'№ 5'!G582</f>
        <v>0</v>
      </c>
      <c r="G639" s="21">
        <f>'№ 5'!H582</f>
        <v>0</v>
      </c>
    </row>
    <row r="640" spans="1:7">
      <c r="A640" s="4" t="s">
        <v>64</v>
      </c>
      <c r="B640" s="4" t="s">
        <v>69</v>
      </c>
      <c r="C640" s="4" t="s">
        <v>69</v>
      </c>
      <c r="D640" s="19" t="s">
        <v>32</v>
      </c>
      <c r="E640" s="43">
        <f>E641</f>
        <v>12275</v>
      </c>
      <c r="F640" s="43">
        <f t="shared" ref="F640:G642" si="233">F641</f>
        <v>13390.1</v>
      </c>
      <c r="G640" s="43">
        <f t="shared" si="233"/>
        <v>10648.9</v>
      </c>
    </row>
    <row r="641" spans="1:7">
      <c r="A641" s="86" t="s">
        <v>90</v>
      </c>
      <c r="B641" s="86" t="s">
        <v>69</v>
      </c>
      <c r="C641" s="86" t="s">
        <v>69</v>
      </c>
      <c r="D641" s="59" t="s">
        <v>65</v>
      </c>
      <c r="E641" s="16">
        <f>E642</f>
        <v>12275</v>
      </c>
      <c r="F641" s="16">
        <f t="shared" si="233"/>
        <v>13390.1</v>
      </c>
      <c r="G641" s="16">
        <f t="shared" si="233"/>
        <v>10648.9</v>
      </c>
    </row>
    <row r="642" spans="1:7" ht="47.25">
      <c r="A642" s="86" t="s">
        <v>90</v>
      </c>
      <c r="B642" s="88">
        <v>1200000000</v>
      </c>
      <c r="C642" s="86"/>
      <c r="D642" s="59" t="s">
        <v>216</v>
      </c>
      <c r="E642" s="16">
        <f>E643</f>
        <v>12275</v>
      </c>
      <c r="F642" s="16">
        <f t="shared" si="233"/>
        <v>13390.1</v>
      </c>
      <c r="G642" s="16">
        <f t="shared" si="233"/>
        <v>10648.9</v>
      </c>
    </row>
    <row r="643" spans="1:7">
      <c r="A643" s="86" t="s">
        <v>90</v>
      </c>
      <c r="B643" s="86">
        <v>1230000000</v>
      </c>
      <c r="C643" s="86"/>
      <c r="D643" s="59" t="s">
        <v>241</v>
      </c>
      <c r="E643" s="16">
        <f>E644+E648+E656+E652</f>
        <v>12275</v>
      </c>
      <c r="F643" s="16">
        <f>F644+F648+F656+F652</f>
        <v>13390.1</v>
      </c>
      <c r="G643" s="16">
        <f>G644+G648+G656+G652</f>
        <v>10648.9</v>
      </c>
    </row>
    <row r="644" spans="1:7" ht="31.5">
      <c r="A644" s="86" t="s">
        <v>90</v>
      </c>
      <c r="B644" s="86">
        <v>1230100000</v>
      </c>
      <c r="C644" s="86"/>
      <c r="D644" s="59" t="s">
        <v>242</v>
      </c>
      <c r="E644" s="16">
        <f>E645</f>
        <v>10653.7</v>
      </c>
      <c r="F644" s="16">
        <f t="shared" ref="F644:G644" si="234">F645</f>
        <v>10394</v>
      </c>
      <c r="G644" s="16">
        <f t="shared" si="234"/>
        <v>10394</v>
      </c>
    </row>
    <row r="645" spans="1:7" ht="31.5">
      <c r="A645" s="2" t="s">
        <v>90</v>
      </c>
      <c r="B645" s="86">
        <v>1230120010</v>
      </c>
      <c r="C645" s="86"/>
      <c r="D645" s="59" t="s">
        <v>135</v>
      </c>
      <c r="E645" s="16">
        <f>E646</f>
        <v>10653.7</v>
      </c>
      <c r="F645" s="16">
        <f t="shared" ref="F645:G646" si="235">F646</f>
        <v>10394</v>
      </c>
      <c r="G645" s="16">
        <f t="shared" si="235"/>
        <v>10394</v>
      </c>
    </row>
    <row r="646" spans="1:7" ht="31.5">
      <c r="A646" s="2" t="s">
        <v>90</v>
      </c>
      <c r="B646" s="86">
        <v>1230120010</v>
      </c>
      <c r="C646" s="88" t="s">
        <v>104</v>
      </c>
      <c r="D646" s="87" t="s">
        <v>105</v>
      </c>
      <c r="E646" s="16">
        <f>E647</f>
        <v>10653.7</v>
      </c>
      <c r="F646" s="16">
        <f t="shared" si="235"/>
        <v>10394</v>
      </c>
      <c r="G646" s="16">
        <f t="shared" si="235"/>
        <v>10394</v>
      </c>
    </row>
    <row r="647" spans="1:7">
      <c r="A647" s="86" t="s">
        <v>90</v>
      </c>
      <c r="B647" s="86">
        <v>1230120010</v>
      </c>
      <c r="C647" s="86">
        <v>610</v>
      </c>
      <c r="D647" s="87" t="s">
        <v>115</v>
      </c>
      <c r="E647" s="16">
        <f>'№ 5'!F449</f>
        <v>10653.7</v>
      </c>
      <c r="F647" s="16">
        <f>'№ 5'!G449</f>
        <v>10394</v>
      </c>
      <c r="G647" s="16">
        <f>'№ 5'!H449</f>
        <v>10394</v>
      </c>
    </row>
    <row r="648" spans="1:7" ht="63">
      <c r="A648" s="86" t="s">
        <v>90</v>
      </c>
      <c r="B648" s="86">
        <v>1230200000</v>
      </c>
      <c r="C648" s="86"/>
      <c r="D648" s="59" t="s">
        <v>243</v>
      </c>
      <c r="E648" s="16">
        <f>E649</f>
        <v>254.9</v>
      </c>
      <c r="F648" s="16">
        <f t="shared" ref="F648:G650" si="236">F649</f>
        <v>0</v>
      </c>
      <c r="G648" s="16">
        <f t="shared" si="236"/>
        <v>254.9</v>
      </c>
    </row>
    <row r="649" spans="1:7">
      <c r="A649" s="86" t="s">
        <v>90</v>
      </c>
      <c r="B649" s="86">
        <v>1230220040</v>
      </c>
      <c r="C649" s="86"/>
      <c r="D649" s="59" t="s">
        <v>244</v>
      </c>
      <c r="E649" s="16">
        <f>E650</f>
        <v>254.9</v>
      </c>
      <c r="F649" s="16">
        <f t="shared" si="236"/>
        <v>0</v>
      </c>
      <c r="G649" s="16">
        <f t="shared" si="236"/>
        <v>254.9</v>
      </c>
    </row>
    <row r="650" spans="1:7" ht="31.5">
      <c r="A650" s="86" t="s">
        <v>90</v>
      </c>
      <c r="B650" s="86">
        <v>1230220040</v>
      </c>
      <c r="C650" s="88" t="s">
        <v>104</v>
      </c>
      <c r="D650" s="87" t="s">
        <v>105</v>
      </c>
      <c r="E650" s="16">
        <f>E651</f>
        <v>254.9</v>
      </c>
      <c r="F650" s="16">
        <f t="shared" si="236"/>
        <v>0</v>
      </c>
      <c r="G650" s="16">
        <f t="shared" si="236"/>
        <v>254.9</v>
      </c>
    </row>
    <row r="651" spans="1:7">
      <c r="A651" s="86" t="s">
        <v>90</v>
      </c>
      <c r="B651" s="86">
        <v>1230220040</v>
      </c>
      <c r="C651" s="86">
        <v>610</v>
      </c>
      <c r="D651" s="87" t="s">
        <v>115</v>
      </c>
      <c r="E651" s="16">
        <f>'№ 5'!F453</f>
        <v>254.9</v>
      </c>
      <c r="F651" s="16">
        <f>'№ 5'!G453</f>
        <v>0</v>
      </c>
      <c r="G651" s="16">
        <f>'№ 5'!H453</f>
        <v>254.9</v>
      </c>
    </row>
    <row r="652" spans="1:7">
      <c r="A652" s="86" t="s">
        <v>90</v>
      </c>
      <c r="B652" s="86">
        <v>1230500000</v>
      </c>
      <c r="C652" s="86"/>
      <c r="D652" s="66" t="s">
        <v>351</v>
      </c>
      <c r="E652" s="16">
        <f>E653</f>
        <v>0</v>
      </c>
      <c r="F652" s="16">
        <f t="shared" ref="F652:G652" si="237">F653</f>
        <v>2996.1</v>
      </c>
      <c r="G652" s="16">
        <f t="shared" si="237"/>
        <v>0</v>
      </c>
    </row>
    <row r="653" spans="1:7" ht="31.5">
      <c r="A653" s="86" t="s">
        <v>90</v>
      </c>
      <c r="B653" s="86" t="s">
        <v>386</v>
      </c>
      <c r="C653" s="86"/>
      <c r="D653" s="66" t="s">
        <v>387</v>
      </c>
      <c r="E653" s="16">
        <f>E654</f>
        <v>0</v>
      </c>
      <c r="F653" s="16">
        <f t="shared" ref="F653:G654" si="238">F654</f>
        <v>2996.1</v>
      </c>
      <c r="G653" s="16">
        <f t="shared" si="238"/>
        <v>0</v>
      </c>
    </row>
    <row r="654" spans="1:7" ht="31.5">
      <c r="A654" s="86" t="s">
        <v>90</v>
      </c>
      <c r="B654" s="86" t="s">
        <v>386</v>
      </c>
      <c r="C654" s="88" t="s">
        <v>75</v>
      </c>
      <c r="D654" s="66" t="s">
        <v>103</v>
      </c>
      <c r="E654" s="16">
        <f>E655</f>
        <v>0</v>
      </c>
      <c r="F654" s="16">
        <f t="shared" si="238"/>
        <v>2996.1</v>
      </c>
      <c r="G654" s="16">
        <f t="shared" si="238"/>
        <v>0</v>
      </c>
    </row>
    <row r="655" spans="1:7">
      <c r="A655" s="86" t="s">
        <v>90</v>
      </c>
      <c r="B655" s="86" t="s">
        <v>386</v>
      </c>
      <c r="C655" s="88" t="s">
        <v>131</v>
      </c>
      <c r="D655" s="66" t="s">
        <v>132</v>
      </c>
      <c r="E655" s="16">
        <f>'№ 5'!F457</f>
        <v>0</v>
      </c>
      <c r="F655" s="16">
        <f>'№ 5'!G457</f>
        <v>2996.1</v>
      </c>
      <c r="G655" s="16">
        <f>'№ 5'!H457</f>
        <v>0</v>
      </c>
    </row>
    <row r="656" spans="1:7" ht="31.5">
      <c r="A656" s="86" t="s">
        <v>90</v>
      </c>
      <c r="B656" s="86">
        <v>1230600000</v>
      </c>
      <c r="C656" s="86"/>
      <c r="D656" s="59" t="s">
        <v>245</v>
      </c>
      <c r="E656" s="16">
        <f>E657+E664+E667</f>
        <v>1366.3999999999999</v>
      </c>
      <c r="F656" s="16">
        <f>F657+F664+F667</f>
        <v>0</v>
      </c>
      <c r="G656" s="16">
        <f>G657+G664+G667</f>
        <v>0</v>
      </c>
    </row>
    <row r="657" spans="1:7" ht="31.5">
      <c r="A657" s="86" t="s">
        <v>90</v>
      </c>
      <c r="B657" s="86">
        <v>1230620300</v>
      </c>
      <c r="C657" s="86"/>
      <c r="D657" s="59" t="s">
        <v>246</v>
      </c>
      <c r="E657" s="16">
        <f>E658+E660+E662</f>
        <v>459.79999999999995</v>
      </c>
      <c r="F657" s="16">
        <f t="shared" ref="F657:G657" si="239">F658+F660+F662</f>
        <v>0</v>
      </c>
      <c r="G657" s="16">
        <f t="shared" si="239"/>
        <v>0</v>
      </c>
    </row>
    <row r="658" spans="1:7" ht="63">
      <c r="A658" s="86" t="s">
        <v>90</v>
      </c>
      <c r="B658" s="86">
        <v>1230620300</v>
      </c>
      <c r="C658" s="88" t="s">
        <v>71</v>
      </c>
      <c r="D658" s="87" t="s">
        <v>1</v>
      </c>
      <c r="E658" s="16">
        <f>E659</f>
        <v>238.4</v>
      </c>
      <c r="F658" s="16">
        <f t="shared" ref="F658:G658" si="240">F659</f>
        <v>0</v>
      </c>
      <c r="G658" s="16">
        <f t="shared" si="240"/>
        <v>0</v>
      </c>
    </row>
    <row r="659" spans="1:7" ht="31.5">
      <c r="A659" s="86" t="s">
        <v>90</v>
      </c>
      <c r="B659" s="86">
        <v>1230620300</v>
      </c>
      <c r="C659" s="86">
        <v>120</v>
      </c>
      <c r="D659" s="59" t="s">
        <v>319</v>
      </c>
      <c r="E659" s="16">
        <f>'№ 5'!F461</f>
        <v>238.4</v>
      </c>
      <c r="F659" s="16">
        <f>'№ 5'!G461</f>
        <v>0</v>
      </c>
      <c r="G659" s="16">
        <f>'№ 5'!H461</f>
        <v>0</v>
      </c>
    </row>
    <row r="660" spans="1:7" ht="31.5">
      <c r="A660" s="86" t="s">
        <v>90</v>
      </c>
      <c r="B660" s="86">
        <v>1230620300</v>
      </c>
      <c r="C660" s="88" t="s">
        <v>72</v>
      </c>
      <c r="D660" s="87" t="s">
        <v>102</v>
      </c>
      <c r="E660" s="16">
        <f>E661</f>
        <v>122.5</v>
      </c>
      <c r="F660" s="16">
        <f t="shared" ref="F660:G660" si="241">F661</f>
        <v>0</v>
      </c>
      <c r="G660" s="16">
        <f t="shared" si="241"/>
        <v>0</v>
      </c>
    </row>
    <row r="661" spans="1:7" ht="31.5">
      <c r="A661" s="86" t="s">
        <v>90</v>
      </c>
      <c r="B661" s="86">
        <v>1230620300</v>
      </c>
      <c r="C661" s="86">
        <v>240</v>
      </c>
      <c r="D661" s="87" t="s">
        <v>315</v>
      </c>
      <c r="E661" s="16">
        <f>'№ 5'!F463</f>
        <v>122.5</v>
      </c>
      <c r="F661" s="16">
        <f>'№ 5'!G463</f>
        <v>0</v>
      </c>
      <c r="G661" s="16">
        <f>'№ 5'!H463</f>
        <v>0</v>
      </c>
    </row>
    <row r="662" spans="1:7">
      <c r="A662" s="86" t="s">
        <v>90</v>
      </c>
      <c r="B662" s="86">
        <v>1230620300</v>
      </c>
      <c r="C662" s="86" t="s">
        <v>73</v>
      </c>
      <c r="D662" s="87" t="s">
        <v>74</v>
      </c>
      <c r="E662" s="16">
        <f>E663</f>
        <v>98.9</v>
      </c>
      <c r="F662" s="16">
        <f t="shared" ref="F662:G662" si="242">F663</f>
        <v>0</v>
      </c>
      <c r="G662" s="16">
        <f t="shared" si="242"/>
        <v>0</v>
      </c>
    </row>
    <row r="663" spans="1:7">
      <c r="A663" s="86" t="s">
        <v>90</v>
      </c>
      <c r="B663" s="86">
        <v>1230620300</v>
      </c>
      <c r="C663" s="86">
        <v>850</v>
      </c>
      <c r="D663" s="87" t="s">
        <v>111</v>
      </c>
      <c r="E663" s="16">
        <f>'№ 5'!F465</f>
        <v>98.9</v>
      </c>
      <c r="F663" s="16">
        <f>'№ 5'!G465</f>
        <v>0</v>
      </c>
      <c r="G663" s="16">
        <f>'№ 5'!H465</f>
        <v>0</v>
      </c>
    </row>
    <row r="664" spans="1:7" ht="31.5">
      <c r="A664" s="86" t="s">
        <v>90</v>
      </c>
      <c r="B664" s="86">
        <v>1230620310</v>
      </c>
      <c r="C664" s="86"/>
      <c r="D664" s="59" t="s">
        <v>247</v>
      </c>
      <c r="E664" s="16">
        <f>E665</f>
        <v>43.4</v>
      </c>
      <c r="F664" s="16">
        <f t="shared" ref="F664:G665" si="243">F665</f>
        <v>0</v>
      </c>
      <c r="G664" s="16">
        <f t="shared" si="243"/>
        <v>0</v>
      </c>
    </row>
    <row r="665" spans="1:7" ht="31.5">
      <c r="A665" s="86" t="s">
        <v>90</v>
      </c>
      <c r="B665" s="86">
        <v>1230620310</v>
      </c>
      <c r="C665" s="88" t="s">
        <v>104</v>
      </c>
      <c r="D665" s="87" t="s">
        <v>105</v>
      </c>
      <c r="E665" s="16">
        <f>E666</f>
        <v>43.4</v>
      </c>
      <c r="F665" s="16">
        <f t="shared" si="243"/>
        <v>0</v>
      </c>
      <c r="G665" s="16">
        <f t="shared" si="243"/>
        <v>0</v>
      </c>
    </row>
    <row r="666" spans="1:7">
      <c r="A666" s="86" t="s">
        <v>90</v>
      </c>
      <c r="B666" s="86">
        <v>1230620310</v>
      </c>
      <c r="C666" s="86">
        <v>610</v>
      </c>
      <c r="D666" s="87" t="s">
        <v>115</v>
      </c>
      <c r="E666" s="16">
        <f>'№ 5'!F468</f>
        <v>43.4</v>
      </c>
      <c r="F666" s="16">
        <f>'№ 5'!G468</f>
        <v>0</v>
      </c>
      <c r="G666" s="16">
        <f>'№ 5'!H468</f>
        <v>0</v>
      </c>
    </row>
    <row r="667" spans="1:7">
      <c r="A667" s="86" t="s">
        <v>90</v>
      </c>
      <c r="B667" s="86">
        <v>1230620320</v>
      </c>
      <c r="C667" s="86"/>
      <c r="D667" s="59" t="s">
        <v>163</v>
      </c>
      <c r="E667" s="16">
        <f>E668+E670+E672</f>
        <v>863.19999999999993</v>
      </c>
      <c r="F667" s="16">
        <f t="shared" ref="F667:G667" si="244">F668+F670+F672</f>
        <v>0</v>
      </c>
      <c r="G667" s="16">
        <f t="shared" si="244"/>
        <v>0</v>
      </c>
    </row>
    <row r="668" spans="1:7" ht="63">
      <c r="A668" s="86" t="s">
        <v>90</v>
      </c>
      <c r="B668" s="86">
        <v>1230620320</v>
      </c>
      <c r="C668" s="88" t="s">
        <v>71</v>
      </c>
      <c r="D668" s="87" t="s">
        <v>1</v>
      </c>
      <c r="E668" s="16">
        <f>E669</f>
        <v>493.4</v>
      </c>
      <c r="F668" s="16">
        <f t="shared" ref="F668:G668" si="245">F669</f>
        <v>0</v>
      </c>
      <c r="G668" s="16">
        <f t="shared" si="245"/>
        <v>0</v>
      </c>
    </row>
    <row r="669" spans="1:7" ht="31.5">
      <c r="A669" s="86" t="s">
        <v>90</v>
      </c>
      <c r="B669" s="86">
        <v>1230620320</v>
      </c>
      <c r="C669" s="86">
        <v>120</v>
      </c>
      <c r="D669" s="59" t="s">
        <v>319</v>
      </c>
      <c r="E669" s="16">
        <f>'№ 5'!F471</f>
        <v>493.4</v>
      </c>
      <c r="F669" s="16">
        <f>'№ 5'!G471</f>
        <v>0</v>
      </c>
      <c r="G669" s="16">
        <f>'№ 5'!H471</f>
        <v>0</v>
      </c>
    </row>
    <row r="670" spans="1:7" ht="31.5">
      <c r="A670" s="86" t="s">
        <v>90</v>
      </c>
      <c r="B670" s="86">
        <v>1230620320</v>
      </c>
      <c r="C670" s="88" t="s">
        <v>72</v>
      </c>
      <c r="D670" s="87" t="s">
        <v>102</v>
      </c>
      <c r="E670" s="16">
        <f>E671</f>
        <v>201.79999999999998</v>
      </c>
      <c r="F670" s="16">
        <f t="shared" ref="F670:G670" si="246">F671</f>
        <v>0</v>
      </c>
      <c r="G670" s="16">
        <f t="shared" si="246"/>
        <v>0</v>
      </c>
    </row>
    <row r="671" spans="1:7" ht="31.5">
      <c r="A671" s="86" t="s">
        <v>90</v>
      </c>
      <c r="B671" s="86">
        <v>1230620320</v>
      </c>
      <c r="C671" s="86">
        <v>240</v>
      </c>
      <c r="D671" s="87" t="s">
        <v>315</v>
      </c>
      <c r="E671" s="16">
        <f>'№ 5'!F473</f>
        <v>201.79999999999998</v>
      </c>
      <c r="F671" s="16">
        <f>'№ 5'!G473</f>
        <v>0</v>
      </c>
      <c r="G671" s="16">
        <f>'№ 5'!H473</f>
        <v>0</v>
      </c>
    </row>
    <row r="672" spans="1:7" ht="31.5">
      <c r="A672" s="86" t="s">
        <v>90</v>
      </c>
      <c r="B672" s="86">
        <v>1230620320</v>
      </c>
      <c r="C672" s="88" t="s">
        <v>104</v>
      </c>
      <c r="D672" s="87" t="s">
        <v>105</v>
      </c>
      <c r="E672" s="16">
        <f>E673</f>
        <v>168</v>
      </c>
      <c r="F672" s="16">
        <f t="shared" ref="F672:G672" si="247">F673</f>
        <v>0</v>
      </c>
      <c r="G672" s="16">
        <f t="shared" si="247"/>
        <v>0</v>
      </c>
    </row>
    <row r="673" spans="1:7">
      <c r="A673" s="86" t="s">
        <v>90</v>
      </c>
      <c r="B673" s="86">
        <v>1230620320</v>
      </c>
      <c r="C673" s="86">
        <v>610</v>
      </c>
      <c r="D673" s="87" t="s">
        <v>115</v>
      </c>
      <c r="E673" s="16">
        <f>'№ 5'!F475</f>
        <v>168</v>
      </c>
      <c r="F673" s="16">
        <f>'№ 5'!G475</f>
        <v>0</v>
      </c>
      <c r="G673" s="16">
        <f>'№ 5'!H475</f>
        <v>0</v>
      </c>
    </row>
    <row r="674" spans="1:7">
      <c r="A674" s="4" t="s">
        <v>99</v>
      </c>
      <c r="B674" s="4" t="s">
        <v>69</v>
      </c>
      <c r="C674" s="4" t="s">
        <v>69</v>
      </c>
      <c r="D674" s="19" t="s">
        <v>66</v>
      </c>
      <c r="E674" s="6">
        <f>E675</f>
        <v>2117.2000000000003</v>
      </c>
      <c r="F674" s="6">
        <f t="shared" ref="F674:G677" si="248">F675</f>
        <v>1822.4</v>
      </c>
      <c r="G674" s="6">
        <f t="shared" si="248"/>
        <v>2068.6</v>
      </c>
    </row>
    <row r="675" spans="1:7">
      <c r="A675" s="86" t="s">
        <v>67</v>
      </c>
      <c r="B675" s="86" t="s">
        <v>69</v>
      </c>
      <c r="C675" s="86" t="s">
        <v>69</v>
      </c>
      <c r="D675" s="59" t="s">
        <v>68</v>
      </c>
      <c r="E675" s="16">
        <f>E676</f>
        <v>2117.2000000000003</v>
      </c>
      <c r="F675" s="16">
        <f t="shared" si="248"/>
        <v>1822.4</v>
      </c>
      <c r="G675" s="16">
        <f t="shared" si="248"/>
        <v>2068.6</v>
      </c>
    </row>
    <row r="676" spans="1:7" ht="47.25">
      <c r="A676" s="86" t="s">
        <v>67</v>
      </c>
      <c r="B676" s="88">
        <v>1200000000</v>
      </c>
      <c r="C676" s="86"/>
      <c r="D676" s="59" t="s">
        <v>216</v>
      </c>
      <c r="E676" s="16">
        <f>E677</f>
        <v>2117.2000000000003</v>
      </c>
      <c r="F676" s="16">
        <f t="shared" si="248"/>
        <v>1822.4</v>
      </c>
      <c r="G676" s="16">
        <f t="shared" si="248"/>
        <v>2068.6</v>
      </c>
    </row>
    <row r="677" spans="1:7" ht="31.5">
      <c r="A677" s="86" t="s">
        <v>67</v>
      </c>
      <c r="B677" s="88">
        <v>1240000000</v>
      </c>
      <c r="C677" s="86"/>
      <c r="D677" s="59" t="s">
        <v>150</v>
      </c>
      <c r="E677" s="16">
        <f>E678</f>
        <v>2117.2000000000003</v>
      </c>
      <c r="F677" s="16">
        <f t="shared" si="248"/>
        <v>1822.4</v>
      </c>
      <c r="G677" s="16">
        <f t="shared" si="248"/>
        <v>2068.6</v>
      </c>
    </row>
    <row r="678" spans="1:7">
      <c r="A678" s="86" t="s">
        <v>67</v>
      </c>
      <c r="B678" s="86">
        <v>1240300000</v>
      </c>
      <c r="C678" s="86"/>
      <c r="D678" s="59" t="s">
        <v>240</v>
      </c>
      <c r="E678" s="16">
        <f>E682+E685+E688+E679</f>
        <v>2117.2000000000003</v>
      </c>
      <c r="F678" s="16">
        <f t="shared" ref="F678:G678" si="249">F682+F685+F688+F679</f>
        <v>1822.4</v>
      </c>
      <c r="G678" s="16">
        <f t="shared" si="249"/>
        <v>2068.6</v>
      </c>
    </row>
    <row r="679" spans="1:7" ht="47.25">
      <c r="A679" s="86" t="s">
        <v>67</v>
      </c>
      <c r="B679" s="86">
        <v>1240310320</v>
      </c>
      <c r="C679" s="86"/>
      <c r="D679" s="66" t="s">
        <v>407</v>
      </c>
      <c r="E679" s="16">
        <f>E680</f>
        <v>459.3</v>
      </c>
      <c r="F679" s="16">
        <f t="shared" ref="F679:G680" si="250">F680</f>
        <v>0</v>
      </c>
      <c r="G679" s="16">
        <f t="shared" si="250"/>
        <v>0</v>
      </c>
    </row>
    <row r="680" spans="1:7">
      <c r="A680" s="86" t="s">
        <v>67</v>
      </c>
      <c r="B680" s="86">
        <v>1240310320</v>
      </c>
      <c r="C680" s="86" t="s">
        <v>73</v>
      </c>
      <c r="D680" s="66" t="s">
        <v>74</v>
      </c>
      <c r="E680" s="16">
        <f>E681</f>
        <v>459.3</v>
      </c>
      <c r="F680" s="16">
        <f t="shared" si="250"/>
        <v>0</v>
      </c>
      <c r="G680" s="16">
        <f t="shared" si="250"/>
        <v>0</v>
      </c>
    </row>
    <row r="681" spans="1:7" ht="47.25">
      <c r="A681" s="86" t="s">
        <v>67</v>
      </c>
      <c r="B681" s="86">
        <v>1240310320</v>
      </c>
      <c r="C681" s="86" t="s">
        <v>174</v>
      </c>
      <c r="D681" s="66" t="s">
        <v>175</v>
      </c>
      <c r="E681" s="16">
        <f>'№ 5'!F483</f>
        <v>459.3</v>
      </c>
      <c r="F681" s="16">
        <f>'№ 5'!G483</f>
        <v>0</v>
      </c>
      <c r="G681" s="16">
        <f>'№ 5'!H483</f>
        <v>0</v>
      </c>
    </row>
    <row r="682" spans="1:7" ht="31.5">
      <c r="A682" s="86" t="s">
        <v>67</v>
      </c>
      <c r="B682" s="86">
        <v>1240320360</v>
      </c>
      <c r="C682" s="86"/>
      <c r="D682" s="59" t="s">
        <v>170</v>
      </c>
      <c r="E682" s="16">
        <f>E683</f>
        <v>531.79999999999995</v>
      </c>
      <c r="F682" s="16">
        <f t="shared" ref="F682:G683" si="251">F683</f>
        <v>696.30000000000007</v>
      </c>
      <c r="G682" s="16">
        <f t="shared" si="251"/>
        <v>942.5</v>
      </c>
    </row>
    <row r="683" spans="1:7">
      <c r="A683" s="86" t="s">
        <v>67</v>
      </c>
      <c r="B683" s="86">
        <v>1240320360</v>
      </c>
      <c r="C683" s="86" t="s">
        <v>73</v>
      </c>
      <c r="D683" s="59" t="s">
        <v>74</v>
      </c>
      <c r="E683" s="16">
        <f>E684</f>
        <v>531.79999999999995</v>
      </c>
      <c r="F683" s="16">
        <f t="shared" si="251"/>
        <v>696.30000000000007</v>
      </c>
      <c r="G683" s="16">
        <f t="shared" si="251"/>
        <v>942.5</v>
      </c>
    </row>
    <row r="684" spans="1:7" ht="47.25">
      <c r="A684" s="86" t="s">
        <v>67</v>
      </c>
      <c r="B684" s="86">
        <v>1240320360</v>
      </c>
      <c r="C684" s="86" t="s">
        <v>174</v>
      </c>
      <c r="D684" s="59" t="s">
        <v>175</v>
      </c>
      <c r="E684" s="16">
        <f>'№ 5'!F486</f>
        <v>531.79999999999995</v>
      </c>
      <c r="F684" s="16">
        <f>'№ 5'!G486</f>
        <v>696.30000000000007</v>
      </c>
      <c r="G684" s="16">
        <f>'№ 5'!H486</f>
        <v>942.5</v>
      </c>
    </row>
    <row r="685" spans="1:7" ht="47.25">
      <c r="A685" s="86" t="s">
        <v>67</v>
      </c>
      <c r="B685" s="86">
        <v>1240320370</v>
      </c>
      <c r="C685" s="86"/>
      <c r="D685" s="59" t="s">
        <v>171</v>
      </c>
      <c r="E685" s="16">
        <f>E686</f>
        <v>489.6</v>
      </c>
      <c r="F685" s="16">
        <f t="shared" ref="F685:G686" si="252">F686</f>
        <v>489.6</v>
      </c>
      <c r="G685" s="16">
        <f t="shared" si="252"/>
        <v>489.6</v>
      </c>
    </row>
    <row r="686" spans="1:7">
      <c r="A686" s="86" t="s">
        <v>67</v>
      </c>
      <c r="B686" s="86">
        <v>1240320370</v>
      </c>
      <c r="C686" s="86" t="s">
        <v>73</v>
      </c>
      <c r="D686" s="59" t="s">
        <v>74</v>
      </c>
      <c r="E686" s="16">
        <f>E687</f>
        <v>489.6</v>
      </c>
      <c r="F686" s="16">
        <f t="shared" si="252"/>
        <v>489.6</v>
      </c>
      <c r="G686" s="16">
        <f t="shared" si="252"/>
        <v>489.6</v>
      </c>
    </row>
    <row r="687" spans="1:7" ht="47.25">
      <c r="A687" s="86" t="s">
        <v>67</v>
      </c>
      <c r="B687" s="86">
        <v>1240320370</v>
      </c>
      <c r="C687" s="86" t="s">
        <v>174</v>
      </c>
      <c r="D687" s="59" t="s">
        <v>175</v>
      </c>
      <c r="E687" s="16">
        <f>'№ 5'!F489</f>
        <v>489.6</v>
      </c>
      <c r="F687" s="16">
        <f>'№ 5'!G489</f>
        <v>489.6</v>
      </c>
      <c r="G687" s="16">
        <f>'№ 5'!H489</f>
        <v>489.6</v>
      </c>
    </row>
    <row r="688" spans="1:7" ht="47.25">
      <c r="A688" s="86" t="s">
        <v>67</v>
      </c>
      <c r="B688" s="86" t="s">
        <v>173</v>
      </c>
      <c r="C688" s="86"/>
      <c r="D688" s="59" t="s">
        <v>172</v>
      </c>
      <c r="E688" s="16">
        <f>E689</f>
        <v>636.5</v>
      </c>
      <c r="F688" s="16">
        <f t="shared" ref="F688:G689" si="253">F689</f>
        <v>636.5</v>
      </c>
      <c r="G688" s="16">
        <f t="shared" si="253"/>
        <v>636.5</v>
      </c>
    </row>
    <row r="689" spans="1:9">
      <c r="A689" s="86" t="s">
        <v>67</v>
      </c>
      <c r="B689" s="86" t="s">
        <v>173</v>
      </c>
      <c r="C689" s="86" t="s">
        <v>73</v>
      </c>
      <c r="D689" s="59" t="s">
        <v>74</v>
      </c>
      <c r="E689" s="16">
        <f>E690</f>
        <v>636.5</v>
      </c>
      <c r="F689" s="16">
        <f t="shared" si="253"/>
        <v>636.5</v>
      </c>
      <c r="G689" s="16">
        <f t="shared" si="253"/>
        <v>636.5</v>
      </c>
    </row>
    <row r="690" spans="1:9" ht="47.25">
      <c r="A690" s="86" t="s">
        <v>67</v>
      </c>
      <c r="B690" s="86" t="s">
        <v>173</v>
      </c>
      <c r="C690" s="86" t="s">
        <v>174</v>
      </c>
      <c r="D690" s="59" t="s">
        <v>175</v>
      </c>
      <c r="E690" s="16">
        <f>'№ 5'!F492</f>
        <v>636.5</v>
      </c>
      <c r="F690" s="16">
        <f>'№ 5'!G492</f>
        <v>636.5</v>
      </c>
      <c r="G690" s="16">
        <f>'№ 5'!H492</f>
        <v>636.5</v>
      </c>
    </row>
    <row r="691" spans="1:9">
      <c r="A691" s="4" t="s">
        <v>328</v>
      </c>
      <c r="B691" s="4" t="s">
        <v>69</v>
      </c>
      <c r="C691" s="4" t="s">
        <v>69</v>
      </c>
      <c r="D691" s="19" t="s">
        <v>329</v>
      </c>
      <c r="E691" s="6">
        <f t="shared" ref="E691:E696" si="254">E692</f>
        <v>6</v>
      </c>
      <c r="F691" s="6">
        <f t="shared" ref="F691:G691" si="255">F692</f>
        <v>46</v>
      </c>
      <c r="G691" s="6">
        <f t="shared" si="255"/>
        <v>46</v>
      </c>
    </row>
    <row r="692" spans="1:9" ht="31.5">
      <c r="A692" s="86" t="s">
        <v>330</v>
      </c>
      <c r="B692" s="86" t="s">
        <v>69</v>
      </c>
      <c r="C692" s="86" t="s">
        <v>69</v>
      </c>
      <c r="D692" s="66" t="s">
        <v>331</v>
      </c>
      <c r="E692" s="21">
        <f t="shared" si="254"/>
        <v>6</v>
      </c>
      <c r="F692" s="21">
        <f t="shared" ref="F692:G696" si="256">F693</f>
        <v>46</v>
      </c>
      <c r="G692" s="21">
        <f t="shared" si="256"/>
        <v>46</v>
      </c>
    </row>
    <row r="693" spans="1:9">
      <c r="A693" s="86" t="s">
        <v>330</v>
      </c>
      <c r="B693" s="86">
        <v>9900000000</v>
      </c>
      <c r="C693" s="86"/>
      <c r="D693" s="66" t="s">
        <v>116</v>
      </c>
      <c r="E693" s="21">
        <f t="shared" si="254"/>
        <v>6</v>
      </c>
      <c r="F693" s="21">
        <f t="shared" si="256"/>
        <v>46</v>
      </c>
      <c r="G693" s="21">
        <f t="shared" si="256"/>
        <v>46</v>
      </c>
    </row>
    <row r="694" spans="1:9" ht="31.5">
      <c r="A694" s="86" t="s">
        <v>330</v>
      </c>
      <c r="B694" s="86">
        <v>9930000000</v>
      </c>
      <c r="C694" s="86"/>
      <c r="D694" s="66" t="s">
        <v>189</v>
      </c>
      <c r="E694" s="21">
        <f t="shared" si="254"/>
        <v>6</v>
      </c>
      <c r="F694" s="21">
        <f t="shared" si="256"/>
        <v>46</v>
      </c>
      <c r="G694" s="21">
        <f t="shared" si="256"/>
        <v>46</v>
      </c>
      <c r="I694" s="28" t="s">
        <v>423</v>
      </c>
    </row>
    <row r="695" spans="1:9">
      <c r="A695" s="86" t="s">
        <v>330</v>
      </c>
      <c r="B695" s="86">
        <v>9930020500</v>
      </c>
      <c r="C695" s="86"/>
      <c r="D695" s="66" t="s">
        <v>332</v>
      </c>
      <c r="E695" s="21">
        <f t="shared" si="254"/>
        <v>6</v>
      </c>
      <c r="F695" s="21">
        <f t="shared" si="256"/>
        <v>46</v>
      </c>
      <c r="G695" s="21">
        <f t="shared" si="256"/>
        <v>46</v>
      </c>
    </row>
    <row r="696" spans="1:9">
      <c r="A696" s="86" t="s">
        <v>330</v>
      </c>
      <c r="B696" s="86">
        <v>9930020500</v>
      </c>
      <c r="C696" s="86" t="s">
        <v>333</v>
      </c>
      <c r="D696" s="66" t="s">
        <v>334</v>
      </c>
      <c r="E696" s="21">
        <f t="shared" si="254"/>
        <v>6</v>
      </c>
      <c r="F696" s="21">
        <f t="shared" si="256"/>
        <v>46</v>
      </c>
      <c r="G696" s="21">
        <f t="shared" si="256"/>
        <v>46</v>
      </c>
    </row>
    <row r="697" spans="1:9">
      <c r="A697" s="86" t="s">
        <v>330</v>
      </c>
      <c r="B697" s="86">
        <v>9930020500</v>
      </c>
      <c r="C697" s="1" t="s">
        <v>335</v>
      </c>
      <c r="D697" s="69" t="s">
        <v>332</v>
      </c>
      <c r="E697" s="21">
        <f>'№ 5'!F527</f>
        <v>6</v>
      </c>
      <c r="F697" s="21">
        <f>'№ 5'!G527</f>
        <v>46</v>
      </c>
      <c r="G697" s="21">
        <f>'№ 5'!H527</f>
        <v>46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ageMargins left="0.78740157480314965" right="0.19685039370078741" top="0.19685039370078741" bottom="0.19685039370078741" header="0.31496062992125984" footer="0.31496062992125984"/>
  <pageSetup paperSize="9" scale="69" fitToHeight="18" orientation="portrait" r:id="rId1"/>
  <headerFooter>
    <oddFooter>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I524"/>
  <sheetViews>
    <sheetView topLeftCell="A490" workbookViewId="0">
      <selection activeCell="O519" sqref="O519"/>
    </sheetView>
  </sheetViews>
  <sheetFormatPr defaultColWidth="8.85546875" defaultRowHeight="15.75"/>
  <cols>
    <col min="1" max="1" width="15" style="29" customWidth="1"/>
    <col min="2" max="2" width="8.7109375" style="29" customWidth="1"/>
    <col min="3" max="3" width="73.28515625" style="65" customWidth="1"/>
    <col min="4" max="4" width="12.28515625" style="37" customWidth="1"/>
    <col min="5" max="5" width="13.140625" style="37" customWidth="1"/>
    <col min="6" max="6" width="12.7109375" style="37" customWidth="1"/>
    <col min="7" max="16384" width="8.85546875" style="29"/>
  </cols>
  <sheetData>
    <row r="1" spans="1:9" ht="52.15" customHeight="1">
      <c r="A1" s="237" t="s">
        <v>785</v>
      </c>
      <c r="B1" s="237"/>
      <c r="C1" s="237"/>
      <c r="D1" s="237"/>
      <c r="E1" s="237"/>
      <c r="F1" s="237"/>
    </row>
    <row r="2" spans="1:9" ht="50.45" customHeight="1">
      <c r="A2" s="238" t="s">
        <v>323</v>
      </c>
      <c r="B2" s="238"/>
      <c r="C2" s="238"/>
      <c r="D2" s="238"/>
      <c r="E2" s="238"/>
      <c r="F2" s="238"/>
    </row>
    <row r="3" spans="1:9">
      <c r="A3" s="239"/>
      <c r="B3" s="239" t="s">
        <v>19</v>
      </c>
      <c r="C3" s="239" t="s">
        <v>20</v>
      </c>
      <c r="D3" s="240" t="s">
        <v>93</v>
      </c>
      <c r="E3" s="240"/>
      <c r="F3" s="240"/>
      <c r="I3" s="29" t="s">
        <v>428</v>
      </c>
    </row>
    <row r="4" spans="1:9">
      <c r="A4" s="239" t="s">
        <v>69</v>
      </c>
      <c r="B4" s="239" t="s">
        <v>69</v>
      </c>
      <c r="C4" s="239" t="s">
        <v>69</v>
      </c>
      <c r="D4" s="240" t="s">
        <v>94</v>
      </c>
      <c r="E4" s="240" t="s">
        <v>95</v>
      </c>
      <c r="F4" s="240"/>
    </row>
    <row r="5" spans="1:9">
      <c r="A5" s="239" t="s">
        <v>69</v>
      </c>
      <c r="B5" s="239" t="s">
        <v>69</v>
      </c>
      <c r="C5" s="239" t="s">
        <v>69</v>
      </c>
      <c r="D5" s="240" t="s">
        <v>69</v>
      </c>
      <c r="E5" s="92" t="s">
        <v>107</v>
      </c>
      <c r="F5" s="92" t="s">
        <v>317</v>
      </c>
    </row>
    <row r="6" spans="1:9">
      <c r="A6" s="91" t="s">
        <v>4</v>
      </c>
      <c r="B6" s="91" t="s">
        <v>80</v>
      </c>
      <c r="C6" s="63" t="s">
        <v>81</v>
      </c>
      <c r="D6" s="92" t="s">
        <v>82</v>
      </c>
      <c r="E6" s="92" t="s">
        <v>83</v>
      </c>
      <c r="F6" s="92" t="s">
        <v>84</v>
      </c>
    </row>
    <row r="7" spans="1:9">
      <c r="A7" s="30" t="s">
        <v>69</v>
      </c>
      <c r="B7" s="30" t="s">
        <v>69</v>
      </c>
      <c r="C7" s="31" t="s">
        <v>0</v>
      </c>
      <c r="D7" s="34">
        <f>D8+D114+D266+D327+D372+D401+D455</f>
        <v>996428.09999999986</v>
      </c>
      <c r="E7" s="34">
        <f>E8+E114+E266+E327+E372+E401+E455</f>
        <v>713710.2</v>
      </c>
      <c r="F7" s="34">
        <f>F8+F114+F266+F327+F372+F401+F455</f>
        <v>625563.89999999991</v>
      </c>
    </row>
    <row r="8" spans="1:9" ht="34.5" customHeight="1">
      <c r="A8" s="27">
        <v>1100000000</v>
      </c>
      <c r="B8" s="32"/>
      <c r="C8" s="55" t="s">
        <v>221</v>
      </c>
      <c r="D8" s="35">
        <f>D9+D68+D85</f>
        <v>527441.89999999991</v>
      </c>
      <c r="E8" s="35">
        <f>E9+E68+E85</f>
        <v>451770.69999999995</v>
      </c>
      <c r="F8" s="35">
        <f>F9+F68+F85</f>
        <v>450693.29999999993</v>
      </c>
    </row>
    <row r="9" spans="1:9">
      <c r="A9" s="86">
        <v>1110000000</v>
      </c>
      <c r="B9" s="86"/>
      <c r="C9" s="87" t="s">
        <v>200</v>
      </c>
      <c r="D9" s="36">
        <f>D10+D26+D32+D39+D48+D64</f>
        <v>476000.09999999992</v>
      </c>
      <c r="E9" s="36">
        <f t="shared" ref="E9:F9" si="0">E10+E26+E32+E39+E48+E64</f>
        <v>410037.89999999997</v>
      </c>
      <c r="F9" s="36">
        <f t="shared" si="0"/>
        <v>409878.89999999997</v>
      </c>
    </row>
    <row r="10" spans="1:9" ht="47.25">
      <c r="A10" s="86">
        <v>1110100000</v>
      </c>
      <c r="B10" s="24"/>
      <c r="C10" s="87" t="s">
        <v>201</v>
      </c>
      <c r="D10" s="36">
        <f>D20+D11+D14+D17+D23</f>
        <v>424970.39999999997</v>
      </c>
      <c r="E10" s="36">
        <f t="shared" ref="E10:F10" si="1">E20+E11+E14+E17+E23</f>
        <v>398908.3</v>
      </c>
      <c r="F10" s="36">
        <f t="shared" si="1"/>
        <v>398908.3</v>
      </c>
    </row>
    <row r="11" spans="1:9" ht="47.25">
      <c r="A11" s="10" t="s">
        <v>203</v>
      </c>
      <c r="B11" s="11"/>
      <c r="C11" s="42" t="s">
        <v>114</v>
      </c>
      <c r="D11" s="36">
        <f>D12</f>
        <v>105427.3</v>
      </c>
      <c r="E11" s="36">
        <f t="shared" ref="E11:F12" si="2">E12</f>
        <v>93267</v>
      </c>
      <c r="F11" s="36">
        <f t="shared" si="2"/>
        <v>93267</v>
      </c>
    </row>
    <row r="12" spans="1:9" ht="31.5">
      <c r="A12" s="10" t="s">
        <v>203</v>
      </c>
      <c r="B12" s="88" t="s">
        <v>104</v>
      </c>
      <c r="C12" s="87" t="s">
        <v>105</v>
      </c>
      <c r="D12" s="36">
        <f>D13</f>
        <v>105427.3</v>
      </c>
      <c r="E12" s="36">
        <f t="shared" si="2"/>
        <v>93267</v>
      </c>
      <c r="F12" s="36">
        <f t="shared" si="2"/>
        <v>93267</v>
      </c>
    </row>
    <row r="13" spans="1:9">
      <c r="A13" s="10" t="s">
        <v>203</v>
      </c>
      <c r="B13" s="86">
        <v>610</v>
      </c>
      <c r="C13" s="87" t="s">
        <v>115</v>
      </c>
      <c r="D13" s="36">
        <f>'№ 6'!E343</f>
        <v>105427.3</v>
      </c>
      <c r="E13" s="36">
        <f>'№ 6'!F343</f>
        <v>93267</v>
      </c>
      <c r="F13" s="36">
        <f>'№ 6'!G343</f>
        <v>93267</v>
      </c>
    </row>
    <row r="14" spans="1:9" ht="81.75" customHeight="1">
      <c r="A14" s="86">
        <v>1110110750</v>
      </c>
      <c r="B14" s="86"/>
      <c r="C14" s="87" t="s">
        <v>204</v>
      </c>
      <c r="D14" s="36">
        <f>D15</f>
        <v>187624</v>
      </c>
      <c r="E14" s="36">
        <f t="shared" ref="E14:F15" si="3">E15</f>
        <v>187633</v>
      </c>
      <c r="F14" s="36">
        <f t="shared" si="3"/>
        <v>187633</v>
      </c>
    </row>
    <row r="15" spans="1:9" ht="31.5">
      <c r="A15" s="86">
        <v>1110110750</v>
      </c>
      <c r="B15" s="88" t="s">
        <v>104</v>
      </c>
      <c r="C15" s="87" t="s">
        <v>105</v>
      </c>
      <c r="D15" s="36">
        <f>D16</f>
        <v>187624</v>
      </c>
      <c r="E15" s="36">
        <f t="shared" si="3"/>
        <v>187633</v>
      </c>
      <c r="F15" s="36">
        <f t="shared" si="3"/>
        <v>187633</v>
      </c>
    </row>
    <row r="16" spans="1:9">
      <c r="A16" s="86">
        <v>1110110750</v>
      </c>
      <c r="B16" s="86">
        <v>610</v>
      </c>
      <c r="C16" s="87" t="s">
        <v>115</v>
      </c>
      <c r="D16" s="36">
        <f>'№ 6'!E390</f>
        <v>187624</v>
      </c>
      <c r="E16" s="36">
        <f>'№ 6'!F390</f>
        <v>187633</v>
      </c>
      <c r="F16" s="36">
        <f>'№ 6'!G390</f>
        <v>187633</v>
      </c>
    </row>
    <row r="17" spans="1:6" ht="54" customHeight="1">
      <c r="A17" s="10" t="s">
        <v>419</v>
      </c>
      <c r="B17" s="11"/>
      <c r="C17" s="8" t="s">
        <v>416</v>
      </c>
      <c r="D17" s="36">
        <f>D18</f>
        <v>14783.8</v>
      </c>
      <c r="E17" s="36">
        <f t="shared" ref="E17:F18" si="4">E18</f>
        <v>0</v>
      </c>
      <c r="F17" s="36">
        <f t="shared" si="4"/>
        <v>0</v>
      </c>
    </row>
    <row r="18" spans="1:6" ht="31.5">
      <c r="A18" s="10" t="s">
        <v>419</v>
      </c>
      <c r="B18" s="88" t="s">
        <v>104</v>
      </c>
      <c r="C18" s="66" t="s">
        <v>105</v>
      </c>
      <c r="D18" s="36">
        <f>D19</f>
        <v>14783.8</v>
      </c>
      <c r="E18" s="36">
        <f t="shared" si="4"/>
        <v>0</v>
      </c>
      <c r="F18" s="36">
        <f t="shared" si="4"/>
        <v>0</v>
      </c>
    </row>
    <row r="19" spans="1:6">
      <c r="A19" s="10" t="s">
        <v>419</v>
      </c>
      <c r="B19" s="86">
        <v>610</v>
      </c>
      <c r="C19" s="66" t="s">
        <v>115</v>
      </c>
      <c r="D19" s="36">
        <f>'№ 6'!E346+'№ 6'!E393</f>
        <v>14783.8</v>
      </c>
      <c r="E19" s="36">
        <f>'№ 6'!F346+'№ 6'!F393</f>
        <v>0</v>
      </c>
      <c r="F19" s="36">
        <f>'№ 6'!G346+'№ 6'!G393</f>
        <v>0</v>
      </c>
    </row>
    <row r="20" spans="1:6" ht="31.5">
      <c r="A20" s="10" t="s">
        <v>202</v>
      </c>
      <c r="B20" s="10"/>
      <c r="C20" s="42" t="s">
        <v>135</v>
      </c>
      <c r="D20" s="36">
        <f>D21</f>
        <v>116986</v>
      </c>
      <c r="E20" s="36">
        <f t="shared" ref="E20:F20" si="5">E21</f>
        <v>118008.29999999999</v>
      </c>
      <c r="F20" s="36">
        <f t="shared" si="5"/>
        <v>118008.29999999999</v>
      </c>
    </row>
    <row r="21" spans="1:6" ht="31.5">
      <c r="A21" s="10" t="s">
        <v>202</v>
      </c>
      <c r="B21" s="88" t="s">
        <v>104</v>
      </c>
      <c r="C21" s="87" t="s">
        <v>105</v>
      </c>
      <c r="D21" s="36">
        <f>D22</f>
        <v>116986</v>
      </c>
      <c r="E21" s="36">
        <f t="shared" ref="E21:F21" si="6">E22</f>
        <v>118008.29999999999</v>
      </c>
      <c r="F21" s="36">
        <f t="shared" si="6"/>
        <v>118008.29999999999</v>
      </c>
    </row>
    <row r="22" spans="1:6">
      <c r="A22" s="10" t="s">
        <v>202</v>
      </c>
      <c r="B22" s="86">
        <v>610</v>
      </c>
      <c r="C22" s="87" t="s">
        <v>115</v>
      </c>
      <c r="D22" s="36">
        <f>'№ 6'!E349+'№ 6'!E394</f>
        <v>116986</v>
      </c>
      <c r="E22" s="36">
        <f>'№ 6'!F349+'№ 6'!F394</f>
        <v>118008.29999999999</v>
      </c>
      <c r="F22" s="36">
        <f>'№ 6'!G349+'№ 6'!G394</f>
        <v>118008.29999999999</v>
      </c>
    </row>
    <row r="23" spans="1:6" ht="47.25">
      <c r="A23" s="10" t="s">
        <v>420</v>
      </c>
      <c r="B23" s="11"/>
      <c r="C23" s="8" t="s">
        <v>417</v>
      </c>
      <c r="D23" s="36">
        <f>D24</f>
        <v>149.30000000000001</v>
      </c>
      <c r="E23" s="36">
        <f t="shared" ref="E23:F24" si="7">E24</f>
        <v>0</v>
      </c>
      <c r="F23" s="36">
        <f t="shared" si="7"/>
        <v>0</v>
      </c>
    </row>
    <row r="24" spans="1:6" ht="31.5">
      <c r="A24" s="10" t="s">
        <v>420</v>
      </c>
      <c r="B24" s="88" t="s">
        <v>104</v>
      </c>
      <c r="C24" s="66" t="s">
        <v>105</v>
      </c>
      <c r="D24" s="36">
        <f>D25</f>
        <v>149.30000000000001</v>
      </c>
      <c r="E24" s="36">
        <f t="shared" si="7"/>
        <v>0</v>
      </c>
      <c r="F24" s="36">
        <f t="shared" si="7"/>
        <v>0</v>
      </c>
    </row>
    <row r="25" spans="1:6">
      <c r="A25" s="10" t="s">
        <v>420</v>
      </c>
      <c r="B25" s="86">
        <v>610</v>
      </c>
      <c r="C25" s="66" t="s">
        <v>115</v>
      </c>
      <c r="D25" s="36">
        <f>'№ 6'!E399+'№ 6'!E352</f>
        <v>149.30000000000001</v>
      </c>
      <c r="E25" s="36">
        <f>'№ 6'!F399+'№ 6'!F352</f>
        <v>0</v>
      </c>
      <c r="F25" s="36">
        <f>'№ 6'!G399+'№ 6'!G352</f>
        <v>0</v>
      </c>
    </row>
    <row r="26" spans="1:6" ht="31.5" customHeight="1">
      <c r="A26" s="86">
        <v>1110200000</v>
      </c>
      <c r="B26" s="86"/>
      <c r="C26" s="87" t="s">
        <v>215</v>
      </c>
      <c r="D26" s="36">
        <f>D27</f>
        <v>10970.6</v>
      </c>
      <c r="E26" s="36">
        <f t="shared" ref="E26:F26" si="8">E27</f>
        <v>10970.6</v>
      </c>
      <c r="F26" s="36">
        <f t="shared" si="8"/>
        <v>10970.6</v>
      </c>
    </row>
    <row r="27" spans="1:6" ht="78.75">
      <c r="A27" s="86">
        <v>1110210500</v>
      </c>
      <c r="B27" s="86"/>
      <c r="C27" s="87" t="s">
        <v>275</v>
      </c>
      <c r="D27" s="36">
        <f>D28+D30</f>
        <v>10970.6</v>
      </c>
      <c r="E27" s="36">
        <f t="shared" ref="E27:F27" si="9">E28+E30</f>
        <v>10970.6</v>
      </c>
      <c r="F27" s="36">
        <f t="shared" si="9"/>
        <v>10970.6</v>
      </c>
    </row>
    <row r="28" spans="1:6" ht="31.5">
      <c r="A28" s="86">
        <v>1110210500</v>
      </c>
      <c r="B28" s="86" t="s">
        <v>72</v>
      </c>
      <c r="C28" s="87" t="s">
        <v>102</v>
      </c>
      <c r="D28" s="36">
        <f>D29</f>
        <v>258.10000000000002</v>
      </c>
      <c r="E28" s="36">
        <f t="shared" ref="E28:F28" si="10">E29</f>
        <v>267.60000000000002</v>
      </c>
      <c r="F28" s="36">
        <f t="shared" si="10"/>
        <v>267.60000000000002</v>
      </c>
    </row>
    <row r="29" spans="1:6" ht="31.5">
      <c r="A29" s="86">
        <v>1110210500</v>
      </c>
      <c r="B29" s="86">
        <v>240</v>
      </c>
      <c r="C29" s="87" t="s">
        <v>315</v>
      </c>
      <c r="D29" s="36">
        <f>'№ 6'!E628</f>
        <v>258.10000000000002</v>
      </c>
      <c r="E29" s="36">
        <f>'№ 6'!F628</f>
        <v>267.60000000000002</v>
      </c>
      <c r="F29" s="36">
        <f>'№ 6'!G628</f>
        <v>267.60000000000002</v>
      </c>
    </row>
    <row r="30" spans="1:6">
      <c r="A30" s="86">
        <v>1110210500</v>
      </c>
      <c r="B30" s="86" t="s">
        <v>76</v>
      </c>
      <c r="C30" s="87" t="s">
        <v>77</v>
      </c>
      <c r="D30" s="36">
        <f>D31</f>
        <v>10712.5</v>
      </c>
      <c r="E30" s="36">
        <f t="shared" ref="E30:F30" si="11">E31</f>
        <v>10703</v>
      </c>
      <c r="F30" s="36">
        <f t="shared" si="11"/>
        <v>10703</v>
      </c>
    </row>
    <row r="31" spans="1:6" ht="31.5">
      <c r="A31" s="86">
        <v>1110210500</v>
      </c>
      <c r="B31" s="1" t="s">
        <v>112</v>
      </c>
      <c r="C31" s="57" t="s">
        <v>113</v>
      </c>
      <c r="D31" s="36">
        <f>'№ 6'!E630</f>
        <v>10712.5</v>
      </c>
      <c r="E31" s="36">
        <f>'№ 6'!F630</f>
        <v>10703</v>
      </c>
      <c r="F31" s="36">
        <f>'№ 6'!G630</f>
        <v>10703</v>
      </c>
    </row>
    <row r="32" spans="1:6" ht="31.5">
      <c r="A32" s="86">
        <v>1110300000</v>
      </c>
      <c r="B32" s="86"/>
      <c r="C32" s="87" t="s">
        <v>205</v>
      </c>
      <c r="D32" s="36">
        <f>D36+D33</f>
        <v>8271.6</v>
      </c>
      <c r="E32" s="36">
        <f t="shared" ref="E32:F32" si="12">E36+E33</f>
        <v>0</v>
      </c>
      <c r="F32" s="36">
        <f t="shared" si="12"/>
        <v>0</v>
      </c>
    </row>
    <row r="33" spans="1:6" ht="47.25">
      <c r="A33" s="86">
        <v>1110310230</v>
      </c>
      <c r="B33" s="86"/>
      <c r="C33" s="87" t="s">
        <v>206</v>
      </c>
      <c r="D33" s="36">
        <f>D34</f>
        <v>4135.8</v>
      </c>
      <c r="E33" s="36">
        <f t="shared" ref="E33:F34" si="13">E34</f>
        <v>0</v>
      </c>
      <c r="F33" s="36">
        <f t="shared" si="13"/>
        <v>0</v>
      </c>
    </row>
    <row r="34" spans="1:6" ht="31.5">
      <c r="A34" s="86">
        <v>1110310230</v>
      </c>
      <c r="B34" s="88" t="s">
        <v>104</v>
      </c>
      <c r="C34" s="87" t="s">
        <v>105</v>
      </c>
      <c r="D34" s="36">
        <f>D35</f>
        <v>4135.8</v>
      </c>
      <c r="E34" s="36">
        <f t="shared" si="13"/>
        <v>0</v>
      </c>
      <c r="F34" s="36">
        <f t="shared" si="13"/>
        <v>0</v>
      </c>
    </row>
    <row r="35" spans="1:6">
      <c r="A35" s="86">
        <v>1110310230</v>
      </c>
      <c r="B35" s="86">
        <v>610</v>
      </c>
      <c r="C35" s="87" t="s">
        <v>115</v>
      </c>
      <c r="D35" s="36">
        <f>'№ 6'!E403</f>
        <v>4135.8</v>
      </c>
      <c r="E35" s="36">
        <f>'№ 6'!F403</f>
        <v>0</v>
      </c>
      <c r="F35" s="36">
        <f>'№ 6'!G403</f>
        <v>0</v>
      </c>
    </row>
    <row r="36" spans="1:6" ht="47.25">
      <c r="A36" s="86" t="s">
        <v>207</v>
      </c>
      <c r="B36" s="86"/>
      <c r="C36" s="87" t="s">
        <v>206</v>
      </c>
      <c r="D36" s="36">
        <f t="shared" ref="D36:F37" si="14">D37</f>
        <v>4135.8</v>
      </c>
      <c r="E36" s="36">
        <f t="shared" si="14"/>
        <v>0</v>
      </c>
      <c r="F36" s="36">
        <f t="shared" si="14"/>
        <v>0</v>
      </c>
    </row>
    <row r="37" spans="1:6" ht="31.5">
      <c r="A37" s="86" t="s">
        <v>207</v>
      </c>
      <c r="B37" s="88" t="s">
        <v>104</v>
      </c>
      <c r="C37" s="87" t="s">
        <v>105</v>
      </c>
      <c r="D37" s="36">
        <f t="shared" si="14"/>
        <v>4135.8</v>
      </c>
      <c r="E37" s="36">
        <f t="shared" si="14"/>
        <v>0</v>
      </c>
      <c r="F37" s="36">
        <f t="shared" si="14"/>
        <v>0</v>
      </c>
    </row>
    <row r="38" spans="1:6">
      <c r="A38" s="86" t="s">
        <v>207</v>
      </c>
      <c r="B38" s="86">
        <v>610</v>
      </c>
      <c r="C38" s="87" t="s">
        <v>115</v>
      </c>
      <c r="D38" s="36">
        <f>'№ 6'!E406</f>
        <v>4135.8</v>
      </c>
      <c r="E38" s="36">
        <f>'№ 6'!F406</f>
        <v>0</v>
      </c>
      <c r="F38" s="36">
        <f>'№ 6'!G406</f>
        <v>0</v>
      </c>
    </row>
    <row r="39" spans="1:6">
      <c r="A39" s="86">
        <v>1110400000</v>
      </c>
      <c r="B39" s="86"/>
      <c r="C39" s="59" t="s">
        <v>210</v>
      </c>
      <c r="D39" s="36">
        <f>D45+D40</f>
        <v>3388.5999999999995</v>
      </c>
      <c r="E39" s="36">
        <f t="shared" ref="E39:F39" si="15">E45+E40</f>
        <v>159</v>
      </c>
      <c r="F39" s="36">
        <f t="shared" si="15"/>
        <v>0</v>
      </c>
    </row>
    <row r="40" spans="1:6" ht="31.5">
      <c r="A40" s="86">
        <v>1110410240</v>
      </c>
      <c r="B40" s="86"/>
      <c r="C40" s="66" t="s">
        <v>380</v>
      </c>
      <c r="D40" s="21">
        <f>D41+D43</f>
        <v>3209.6999999999994</v>
      </c>
      <c r="E40" s="21">
        <f t="shared" ref="E40:F40" si="16">E41+E43</f>
        <v>0</v>
      </c>
      <c r="F40" s="21">
        <f t="shared" si="16"/>
        <v>0</v>
      </c>
    </row>
    <row r="41" spans="1:6">
      <c r="A41" s="86">
        <v>1110410240</v>
      </c>
      <c r="B41" s="1" t="s">
        <v>76</v>
      </c>
      <c r="C41" s="57" t="s">
        <v>77</v>
      </c>
      <c r="D41" s="21">
        <f>D42</f>
        <v>66.7</v>
      </c>
      <c r="E41" s="21">
        <f t="shared" ref="E41:F41" si="17">E42</f>
        <v>0</v>
      </c>
      <c r="F41" s="21">
        <f t="shared" si="17"/>
        <v>0</v>
      </c>
    </row>
    <row r="42" spans="1:6" ht="31.5">
      <c r="A42" s="86">
        <v>1110410240</v>
      </c>
      <c r="B42" s="86">
        <v>320</v>
      </c>
      <c r="C42" s="87" t="s">
        <v>113</v>
      </c>
      <c r="D42" s="21">
        <f>'№ 6'!E488</f>
        <v>66.7</v>
      </c>
      <c r="E42" s="21">
        <f>'№ 6'!F488</f>
        <v>0</v>
      </c>
      <c r="F42" s="21">
        <f>'№ 6'!G488</f>
        <v>0</v>
      </c>
    </row>
    <row r="43" spans="1:6" ht="31.5">
      <c r="A43" s="86">
        <v>1110410240</v>
      </c>
      <c r="B43" s="88" t="s">
        <v>104</v>
      </c>
      <c r="C43" s="87" t="s">
        <v>105</v>
      </c>
      <c r="D43" s="21">
        <f>D44</f>
        <v>3142.9999999999995</v>
      </c>
      <c r="E43" s="21">
        <f t="shared" ref="E43:F43" si="18">E44</f>
        <v>0</v>
      </c>
      <c r="F43" s="21">
        <f t="shared" si="18"/>
        <v>0</v>
      </c>
    </row>
    <row r="44" spans="1:6">
      <c r="A44" s="86">
        <v>1110410240</v>
      </c>
      <c r="B44" s="86">
        <v>610</v>
      </c>
      <c r="C44" s="87" t="s">
        <v>115</v>
      </c>
      <c r="D44" s="21">
        <f>'№ 6'!E490</f>
        <v>3142.9999999999995</v>
      </c>
      <c r="E44" s="21">
        <f>'№ 6'!F490</f>
        <v>0</v>
      </c>
      <c r="F44" s="21">
        <f>'№ 6'!G490</f>
        <v>0</v>
      </c>
    </row>
    <row r="45" spans="1:6" ht="31.5">
      <c r="A45" s="86" t="s">
        <v>212</v>
      </c>
      <c r="B45" s="86"/>
      <c r="C45" s="59" t="s">
        <v>211</v>
      </c>
      <c r="D45" s="36">
        <f>D46</f>
        <v>178.9</v>
      </c>
      <c r="E45" s="36">
        <f t="shared" ref="E45:F46" si="19">E46</f>
        <v>159</v>
      </c>
      <c r="F45" s="36">
        <f t="shared" si="19"/>
        <v>0</v>
      </c>
    </row>
    <row r="46" spans="1:6">
      <c r="A46" s="86" t="s">
        <v>212</v>
      </c>
      <c r="B46" s="1" t="s">
        <v>76</v>
      </c>
      <c r="C46" s="60" t="s">
        <v>77</v>
      </c>
      <c r="D46" s="36">
        <f>D47</f>
        <v>178.9</v>
      </c>
      <c r="E46" s="36">
        <f t="shared" si="19"/>
        <v>159</v>
      </c>
      <c r="F46" s="36">
        <f t="shared" si="19"/>
        <v>0</v>
      </c>
    </row>
    <row r="47" spans="1:6" ht="31.5">
      <c r="A47" s="86" t="s">
        <v>212</v>
      </c>
      <c r="B47" s="86">
        <v>320</v>
      </c>
      <c r="C47" s="87" t="s">
        <v>113</v>
      </c>
      <c r="D47" s="36">
        <f>'№ 6'!E493</f>
        <v>178.9</v>
      </c>
      <c r="E47" s="36">
        <f>'№ 6'!F493</f>
        <v>159</v>
      </c>
      <c r="F47" s="36">
        <f>'№ 6'!G493</f>
        <v>0</v>
      </c>
    </row>
    <row r="48" spans="1:6" ht="63">
      <c r="A48" s="86">
        <v>1110500000</v>
      </c>
      <c r="B48" s="86"/>
      <c r="C48" s="87" t="s">
        <v>208</v>
      </c>
      <c r="D48" s="36">
        <f>D58+D61+D49+D55+D52</f>
        <v>28298.199999999997</v>
      </c>
      <c r="E48" s="36">
        <f t="shared" ref="E48:F48" si="20">E58+E61+E49+E55+E52</f>
        <v>0</v>
      </c>
      <c r="F48" s="36">
        <f t="shared" si="20"/>
        <v>0</v>
      </c>
    </row>
    <row r="49" spans="1:6" ht="46.5" customHeight="1">
      <c r="A49" s="86">
        <v>1110510440</v>
      </c>
      <c r="B49" s="86"/>
      <c r="C49" s="87" t="s">
        <v>389</v>
      </c>
      <c r="D49" s="21">
        <f>D50</f>
        <v>17356.399999999998</v>
      </c>
      <c r="E49" s="21">
        <f t="shared" ref="E49:F50" si="21">E50</f>
        <v>0</v>
      </c>
      <c r="F49" s="21">
        <f t="shared" si="21"/>
        <v>0</v>
      </c>
    </row>
    <row r="50" spans="1:6" ht="31.5">
      <c r="A50" s="86">
        <v>1110510440</v>
      </c>
      <c r="B50" s="88" t="s">
        <v>104</v>
      </c>
      <c r="C50" s="87" t="s">
        <v>105</v>
      </c>
      <c r="D50" s="21">
        <f>D51</f>
        <v>17356.399999999998</v>
      </c>
      <c r="E50" s="21">
        <f t="shared" si="21"/>
        <v>0</v>
      </c>
      <c r="F50" s="21">
        <f t="shared" si="21"/>
        <v>0</v>
      </c>
    </row>
    <row r="51" spans="1:6">
      <c r="A51" s="86">
        <v>1110510440</v>
      </c>
      <c r="B51" s="86">
        <v>610</v>
      </c>
      <c r="C51" s="87" t="s">
        <v>115</v>
      </c>
      <c r="D51" s="21">
        <f>'№ 6'!E410</f>
        <v>17356.399999999998</v>
      </c>
      <c r="E51" s="21">
        <f>'№ 6'!F410</f>
        <v>0</v>
      </c>
      <c r="F51" s="21">
        <f>'№ 6'!G410</f>
        <v>0</v>
      </c>
    </row>
    <row r="52" spans="1:6" ht="30.75" customHeight="1">
      <c r="A52" s="10" t="s">
        <v>413</v>
      </c>
      <c r="B52" s="86"/>
      <c r="C52" s="87" t="s">
        <v>411</v>
      </c>
      <c r="D52" s="21">
        <f>D53</f>
        <v>1419.5</v>
      </c>
      <c r="E52" s="21">
        <f t="shared" ref="E52:F53" si="22">E53</f>
        <v>0</v>
      </c>
      <c r="F52" s="21">
        <f t="shared" si="22"/>
        <v>0</v>
      </c>
    </row>
    <row r="53" spans="1:6" ht="31.5">
      <c r="A53" s="10" t="s">
        <v>413</v>
      </c>
      <c r="B53" s="88" t="s">
        <v>104</v>
      </c>
      <c r="C53" s="87" t="s">
        <v>105</v>
      </c>
      <c r="D53" s="21">
        <f>D54</f>
        <v>1419.5</v>
      </c>
      <c r="E53" s="21">
        <f t="shared" si="22"/>
        <v>0</v>
      </c>
      <c r="F53" s="21">
        <f t="shared" si="22"/>
        <v>0</v>
      </c>
    </row>
    <row r="54" spans="1:6">
      <c r="A54" s="10" t="s">
        <v>413</v>
      </c>
      <c r="B54" s="86">
        <v>610</v>
      </c>
      <c r="C54" s="87" t="s">
        <v>115</v>
      </c>
      <c r="D54" s="21">
        <f>'№ 6'!E356</f>
        <v>1419.5</v>
      </c>
      <c r="E54" s="21">
        <f>'№ 6'!F356</f>
        <v>0</v>
      </c>
      <c r="F54" s="21">
        <f>'№ 6'!G356</f>
        <v>0</v>
      </c>
    </row>
    <row r="55" spans="1:6" ht="30" customHeight="1">
      <c r="A55" s="10" t="s">
        <v>410</v>
      </c>
      <c r="B55" s="86"/>
      <c r="C55" s="87" t="s">
        <v>411</v>
      </c>
      <c r="D55" s="21">
        <f>D56</f>
        <v>423.6</v>
      </c>
      <c r="E55" s="21">
        <f t="shared" ref="E55:F56" si="23">E56</f>
        <v>0</v>
      </c>
      <c r="F55" s="21">
        <f t="shared" si="23"/>
        <v>0</v>
      </c>
    </row>
    <row r="56" spans="1:6" ht="31.5">
      <c r="A56" s="10" t="s">
        <v>410</v>
      </c>
      <c r="B56" s="88" t="s">
        <v>104</v>
      </c>
      <c r="C56" s="87" t="s">
        <v>105</v>
      </c>
      <c r="D56" s="21">
        <f>D57</f>
        <v>423.6</v>
      </c>
      <c r="E56" s="21">
        <f t="shared" si="23"/>
        <v>0</v>
      </c>
      <c r="F56" s="21">
        <f t="shared" si="23"/>
        <v>0</v>
      </c>
    </row>
    <row r="57" spans="1:6">
      <c r="A57" s="10" t="s">
        <v>410</v>
      </c>
      <c r="B57" s="86">
        <v>610</v>
      </c>
      <c r="C57" s="87" t="s">
        <v>115</v>
      </c>
      <c r="D57" s="21">
        <f>'№ 6'!E362</f>
        <v>423.6</v>
      </c>
      <c r="E57" s="21">
        <f>'№ 6'!F362</f>
        <v>0</v>
      </c>
      <c r="F57" s="21">
        <f>'№ 6'!G362</f>
        <v>0</v>
      </c>
    </row>
    <row r="58" spans="1:6" ht="31.5">
      <c r="A58" s="86" t="s">
        <v>209</v>
      </c>
      <c r="B58" s="86"/>
      <c r="C58" s="87" t="s">
        <v>276</v>
      </c>
      <c r="D58" s="36">
        <f>D59</f>
        <v>5695.8</v>
      </c>
      <c r="E58" s="36">
        <f t="shared" ref="E58:F59" si="24">E59</f>
        <v>0</v>
      </c>
      <c r="F58" s="36">
        <f t="shared" si="24"/>
        <v>0</v>
      </c>
    </row>
    <row r="59" spans="1:6" ht="31.5">
      <c r="A59" s="86" t="s">
        <v>209</v>
      </c>
      <c r="B59" s="88" t="s">
        <v>104</v>
      </c>
      <c r="C59" s="87" t="s">
        <v>105</v>
      </c>
      <c r="D59" s="36">
        <f>D60</f>
        <v>5695.8</v>
      </c>
      <c r="E59" s="36">
        <f t="shared" si="24"/>
        <v>0</v>
      </c>
      <c r="F59" s="36">
        <f t="shared" si="24"/>
        <v>0</v>
      </c>
    </row>
    <row r="60" spans="1:6">
      <c r="A60" s="86" t="s">
        <v>209</v>
      </c>
      <c r="B60" s="86">
        <v>610</v>
      </c>
      <c r="C60" s="87" t="s">
        <v>115</v>
      </c>
      <c r="D60" s="36">
        <f>'№ 6'!E413</f>
        <v>5695.8</v>
      </c>
      <c r="E60" s="36">
        <f>'№ 6'!F413</f>
        <v>0</v>
      </c>
      <c r="F60" s="36">
        <f>'№ 6'!G413</f>
        <v>0</v>
      </c>
    </row>
    <row r="61" spans="1:6">
      <c r="A61" s="10" t="s">
        <v>383</v>
      </c>
      <c r="B61" s="86"/>
      <c r="C61" s="66" t="s">
        <v>350</v>
      </c>
      <c r="D61" s="36">
        <f>D62</f>
        <v>3402.9000000000005</v>
      </c>
      <c r="E61" s="36">
        <f t="shared" ref="E61:F62" si="25">E62</f>
        <v>0</v>
      </c>
      <c r="F61" s="36">
        <f t="shared" si="25"/>
        <v>0</v>
      </c>
    </row>
    <row r="62" spans="1:6" ht="31.5">
      <c r="A62" s="10" t="s">
        <v>383</v>
      </c>
      <c r="B62" s="88" t="s">
        <v>104</v>
      </c>
      <c r="C62" s="87" t="s">
        <v>105</v>
      </c>
      <c r="D62" s="36">
        <f>D63</f>
        <v>3402.9000000000005</v>
      </c>
      <c r="E62" s="36">
        <f t="shared" si="25"/>
        <v>0</v>
      </c>
      <c r="F62" s="36">
        <f t="shared" si="25"/>
        <v>0</v>
      </c>
    </row>
    <row r="63" spans="1:6">
      <c r="A63" s="10" t="s">
        <v>383</v>
      </c>
      <c r="B63" s="86">
        <v>610</v>
      </c>
      <c r="C63" s="87" t="s">
        <v>115</v>
      </c>
      <c r="D63" s="36">
        <f>'№ 6'!E359+'№ 6'!E416</f>
        <v>3402.9000000000005</v>
      </c>
      <c r="E63" s="36">
        <f>'№ 6'!F359+'№ 6'!F416</f>
        <v>0</v>
      </c>
      <c r="F63" s="36">
        <f>'№ 6'!G359+'№ 6'!G416</f>
        <v>0</v>
      </c>
    </row>
    <row r="64" spans="1:6" ht="63">
      <c r="A64" s="128">
        <v>1110600000</v>
      </c>
      <c r="B64" s="128"/>
      <c r="C64" s="66" t="s">
        <v>477</v>
      </c>
      <c r="D64" s="36">
        <f>D65</f>
        <v>100.7</v>
      </c>
      <c r="E64" s="36">
        <f t="shared" ref="E64:F66" si="26">E65</f>
        <v>0</v>
      </c>
      <c r="F64" s="36">
        <f t="shared" si="26"/>
        <v>0</v>
      </c>
    </row>
    <row r="65" spans="1:6" ht="31.5">
      <c r="A65" s="128">
        <v>1110620030</v>
      </c>
      <c r="B65" s="128"/>
      <c r="C65" s="66" t="s">
        <v>476</v>
      </c>
      <c r="D65" s="36">
        <f>D66</f>
        <v>100.7</v>
      </c>
      <c r="E65" s="36">
        <f t="shared" si="26"/>
        <v>0</v>
      </c>
      <c r="F65" s="36">
        <f t="shared" si="26"/>
        <v>0</v>
      </c>
    </row>
    <row r="66" spans="1:6" ht="31.5">
      <c r="A66" s="128">
        <v>1110620030</v>
      </c>
      <c r="B66" s="130" t="s">
        <v>104</v>
      </c>
      <c r="C66" s="129" t="s">
        <v>105</v>
      </c>
      <c r="D66" s="36">
        <f>D67</f>
        <v>100.7</v>
      </c>
      <c r="E66" s="36">
        <f t="shared" si="26"/>
        <v>0</v>
      </c>
      <c r="F66" s="36">
        <f t="shared" si="26"/>
        <v>0</v>
      </c>
    </row>
    <row r="67" spans="1:6">
      <c r="A67" s="128">
        <v>1110620030</v>
      </c>
      <c r="B67" s="128">
        <v>610</v>
      </c>
      <c r="C67" s="129" t="s">
        <v>115</v>
      </c>
      <c r="D67" s="36">
        <f>'№ 6'!E420</f>
        <v>100.7</v>
      </c>
      <c r="E67" s="36">
        <f>'№ 6'!F420</f>
        <v>0</v>
      </c>
      <c r="F67" s="36">
        <f>'№ 6'!G420</f>
        <v>0</v>
      </c>
    </row>
    <row r="68" spans="1:6">
      <c r="A68" s="86">
        <v>1120000000</v>
      </c>
      <c r="B68" s="86"/>
      <c r="C68" s="87" t="s">
        <v>133</v>
      </c>
      <c r="D68" s="36">
        <f>D69</f>
        <v>50413.2</v>
      </c>
      <c r="E68" s="36">
        <f t="shared" ref="E68:F68" si="27">E69</f>
        <v>40814.399999999994</v>
      </c>
      <c r="F68" s="36">
        <f t="shared" si="27"/>
        <v>40814.399999999994</v>
      </c>
    </row>
    <row r="69" spans="1:6" ht="47.25">
      <c r="A69" s="86">
        <v>1120100000</v>
      </c>
      <c r="B69" s="86"/>
      <c r="C69" s="87" t="s">
        <v>134</v>
      </c>
      <c r="D69" s="36">
        <f>D76+D70+D79+D73+D82</f>
        <v>50413.2</v>
      </c>
      <c r="E69" s="36">
        <f t="shared" ref="E69:F69" si="28">E76+E70+E79+E73+E82</f>
        <v>40814.399999999994</v>
      </c>
      <c r="F69" s="36">
        <f t="shared" si="28"/>
        <v>40814.399999999994</v>
      </c>
    </row>
    <row r="70" spans="1:6" ht="47.25">
      <c r="A70" s="86">
        <v>1120110690</v>
      </c>
      <c r="B70" s="86"/>
      <c r="C70" s="66" t="s">
        <v>404</v>
      </c>
      <c r="D70" s="36">
        <f>D71</f>
        <v>8403.5</v>
      </c>
      <c r="E70" s="36">
        <f t="shared" ref="E70:F71" si="29">E71</f>
        <v>0</v>
      </c>
      <c r="F70" s="36">
        <f t="shared" si="29"/>
        <v>0</v>
      </c>
    </row>
    <row r="71" spans="1:6" ht="31.5">
      <c r="A71" s="86">
        <v>1120110690</v>
      </c>
      <c r="B71" s="88" t="s">
        <v>104</v>
      </c>
      <c r="C71" s="66" t="s">
        <v>105</v>
      </c>
      <c r="D71" s="36">
        <f>D72</f>
        <v>8403.5</v>
      </c>
      <c r="E71" s="36">
        <f t="shared" si="29"/>
        <v>0</v>
      </c>
      <c r="F71" s="36">
        <f t="shared" si="29"/>
        <v>0</v>
      </c>
    </row>
    <row r="72" spans="1:6">
      <c r="A72" s="86">
        <v>1120110690</v>
      </c>
      <c r="B72" s="86">
        <v>610</v>
      </c>
      <c r="C72" s="66" t="s">
        <v>115</v>
      </c>
      <c r="D72" s="36">
        <f>'№ 6'!E457</f>
        <v>8403.5</v>
      </c>
      <c r="E72" s="36">
        <f>'№ 6'!F457</f>
        <v>0</v>
      </c>
      <c r="F72" s="36">
        <f>'№ 6'!G457</f>
        <v>0</v>
      </c>
    </row>
    <row r="73" spans="1:6" ht="48.75" customHeight="1">
      <c r="A73" s="10" t="s">
        <v>415</v>
      </c>
      <c r="B73" s="11"/>
      <c r="C73" s="8" t="s">
        <v>416</v>
      </c>
      <c r="D73" s="36">
        <f>D74</f>
        <v>1395.5</v>
      </c>
      <c r="E73" s="36">
        <f t="shared" ref="E73:F74" si="30">E74</f>
        <v>0</v>
      </c>
      <c r="F73" s="36">
        <f t="shared" si="30"/>
        <v>0</v>
      </c>
    </row>
    <row r="74" spans="1:6" ht="31.5">
      <c r="A74" s="10" t="s">
        <v>415</v>
      </c>
      <c r="B74" s="88" t="s">
        <v>104</v>
      </c>
      <c r="C74" s="66" t="s">
        <v>105</v>
      </c>
      <c r="D74" s="36">
        <f>D75</f>
        <v>1395.5</v>
      </c>
      <c r="E74" s="36">
        <f t="shared" si="30"/>
        <v>0</v>
      </c>
      <c r="F74" s="36">
        <f t="shared" si="30"/>
        <v>0</v>
      </c>
    </row>
    <row r="75" spans="1:6">
      <c r="A75" s="10" t="s">
        <v>415</v>
      </c>
      <c r="B75" s="86">
        <v>610</v>
      </c>
      <c r="C75" s="66" t="s">
        <v>115</v>
      </c>
      <c r="D75" s="36">
        <f>'№ 6'!E460</f>
        <v>1395.5</v>
      </c>
      <c r="E75" s="36">
        <f>'№ 6'!F460</f>
        <v>0</v>
      </c>
      <c r="F75" s="36">
        <f>'№ 6'!G460</f>
        <v>0</v>
      </c>
    </row>
    <row r="76" spans="1:6" ht="31.5">
      <c r="A76" s="86">
        <v>1120120010</v>
      </c>
      <c r="B76" s="86"/>
      <c r="C76" s="87" t="s">
        <v>135</v>
      </c>
      <c r="D76" s="36">
        <f>D77</f>
        <v>40516.1</v>
      </c>
      <c r="E76" s="36">
        <f t="shared" ref="E76:F77" si="31">E77</f>
        <v>40814.399999999994</v>
      </c>
      <c r="F76" s="36">
        <f t="shared" si="31"/>
        <v>40814.399999999994</v>
      </c>
    </row>
    <row r="77" spans="1:6" ht="31.5">
      <c r="A77" s="86">
        <v>1120120010</v>
      </c>
      <c r="B77" s="88" t="s">
        <v>104</v>
      </c>
      <c r="C77" s="87" t="s">
        <v>105</v>
      </c>
      <c r="D77" s="36">
        <f>D78</f>
        <v>40516.1</v>
      </c>
      <c r="E77" s="36">
        <f t="shared" si="31"/>
        <v>40814.399999999994</v>
      </c>
      <c r="F77" s="36">
        <f t="shared" si="31"/>
        <v>40814.399999999994</v>
      </c>
    </row>
    <row r="78" spans="1:6">
      <c r="A78" s="86">
        <v>1120120010</v>
      </c>
      <c r="B78" s="86">
        <v>610</v>
      </c>
      <c r="C78" s="87" t="s">
        <v>115</v>
      </c>
      <c r="D78" s="36">
        <f>'№ 6'!E463+'№ 6'!E425</f>
        <v>40516.1</v>
      </c>
      <c r="E78" s="36">
        <f>'№ 6'!F463+'№ 6'!F425</f>
        <v>40814.399999999994</v>
      </c>
      <c r="F78" s="36">
        <f>'№ 6'!G463+'№ 6'!G425</f>
        <v>40814.399999999994</v>
      </c>
    </row>
    <row r="79" spans="1:6" ht="47.25">
      <c r="A79" s="86" t="s">
        <v>405</v>
      </c>
      <c r="B79" s="86"/>
      <c r="C79" s="66" t="s">
        <v>406</v>
      </c>
      <c r="D79" s="36">
        <f>D80</f>
        <v>84</v>
      </c>
      <c r="E79" s="36">
        <f t="shared" ref="E79:F80" si="32">E80</f>
        <v>0</v>
      </c>
      <c r="F79" s="36">
        <f t="shared" si="32"/>
        <v>0</v>
      </c>
    </row>
    <row r="80" spans="1:6" ht="31.5">
      <c r="A80" s="86" t="s">
        <v>405</v>
      </c>
      <c r="B80" s="88" t="s">
        <v>104</v>
      </c>
      <c r="C80" s="66" t="s">
        <v>105</v>
      </c>
      <c r="D80" s="36">
        <f>D81</f>
        <v>84</v>
      </c>
      <c r="E80" s="36">
        <f t="shared" si="32"/>
        <v>0</v>
      </c>
      <c r="F80" s="36">
        <f t="shared" si="32"/>
        <v>0</v>
      </c>
    </row>
    <row r="81" spans="1:6">
      <c r="A81" s="86" t="s">
        <v>405</v>
      </c>
      <c r="B81" s="86">
        <v>610</v>
      </c>
      <c r="C81" s="66" t="s">
        <v>115</v>
      </c>
      <c r="D81" s="36">
        <f>'№ 6'!E466</f>
        <v>84</v>
      </c>
      <c r="E81" s="36">
        <f>'№ 6'!F466</f>
        <v>0</v>
      </c>
      <c r="F81" s="36">
        <f>'№ 6'!G466</f>
        <v>0</v>
      </c>
    </row>
    <row r="82" spans="1:6" ht="47.25">
      <c r="A82" s="10" t="s">
        <v>418</v>
      </c>
      <c r="B82" s="11"/>
      <c r="C82" s="8" t="s">
        <v>417</v>
      </c>
      <c r="D82" s="36">
        <f>D83</f>
        <v>14.1</v>
      </c>
      <c r="E82" s="36">
        <f t="shared" ref="E82:F83" si="33">E83</f>
        <v>0</v>
      </c>
      <c r="F82" s="36">
        <f t="shared" si="33"/>
        <v>0</v>
      </c>
    </row>
    <row r="83" spans="1:6" ht="31.5">
      <c r="A83" s="10" t="s">
        <v>418</v>
      </c>
      <c r="B83" s="88" t="s">
        <v>104</v>
      </c>
      <c r="C83" s="66" t="s">
        <v>105</v>
      </c>
      <c r="D83" s="36">
        <f>D84</f>
        <v>14.1</v>
      </c>
      <c r="E83" s="36">
        <f t="shared" si="33"/>
        <v>0</v>
      </c>
      <c r="F83" s="36">
        <f t="shared" si="33"/>
        <v>0</v>
      </c>
    </row>
    <row r="84" spans="1:6">
      <c r="A84" s="10" t="s">
        <v>418</v>
      </c>
      <c r="B84" s="86">
        <v>610</v>
      </c>
      <c r="C84" s="66" t="s">
        <v>115</v>
      </c>
      <c r="D84" s="36">
        <f>'№ 6'!E469</f>
        <v>14.1</v>
      </c>
      <c r="E84" s="36">
        <f>'№ 6'!F469</f>
        <v>0</v>
      </c>
      <c r="F84" s="36">
        <f>'№ 6'!G469</f>
        <v>0</v>
      </c>
    </row>
    <row r="85" spans="1:6" ht="31.5">
      <c r="A85" s="88">
        <v>1130000000</v>
      </c>
      <c r="B85" s="24"/>
      <c r="C85" s="59" t="s">
        <v>126</v>
      </c>
      <c r="D85" s="36">
        <f>D86+D96+D102+D106+D110</f>
        <v>1028.5999999999999</v>
      </c>
      <c r="E85" s="36">
        <f t="shared" ref="E85:F85" si="34">E86+E96+E102+E106+E110</f>
        <v>918.39999999999986</v>
      </c>
      <c r="F85" s="36">
        <f t="shared" si="34"/>
        <v>0</v>
      </c>
    </row>
    <row r="86" spans="1:6" ht="31.5">
      <c r="A86" s="86">
        <v>1130100000</v>
      </c>
      <c r="B86" s="24"/>
      <c r="C86" s="59" t="s">
        <v>263</v>
      </c>
      <c r="D86" s="36">
        <f>D90+D93+D87</f>
        <v>270.89999999999998</v>
      </c>
      <c r="E86" s="36">
        <f t="shared" ref="E86:F86" si="35">E90+E93+E87</f>
        <v>139.80000000000001</v>
      </c>
      <c r="F86" s="36">
        <f t="shared" si="35"/>
        <v>0</v>
      </c>
    </row>
    <row r="87" spans="1:6" ht="31.5">
      <c r="A87" s="88">
        <v>1130111080</v>
      </c>
      <c r="B87" s="86"/>
      <c r="C87" s="87" t="s">
        <v>379</v>
      </c>
      <c r="D87" s="21">
        <f>D88</f>
        <v>132.19999999999999</v>
      </c>
      <c r="E87" s="21">
        <f t="shared" ref="E87:F88" si="36">E88</f>
        <v>0</v>
      </c>
      <c r="F87" s="21">
        <f t="shared" si="36"/>
        <v>0</v>
      </c>
    </row>
    <row r="88" spans="1:6" ht="31.5">
      <c r="A88" s="88">
        <v>1130111080</v>
      </c>
      <c r="B88" s="88" t="s">
        <v>104</v>
      </c>
      <c r="C88" s="87" t="s">
        <v>105</v>
      </c>
      <c r="D88" s="21">
        <f>D89</f>
        <v>132.19999999999999</v>
      </c>
      <c r="E88" s="21">
        <f t="shared" si="36"/>
        <v>0</v>
      </c>
      <c r="F88" s="21">
        <f t="shared" si="36"/>
        <v>0</v>
      </c>
    </row>
    <row r="89" spans="1:6">
      <c r="A89" s="88">
        <v>1130111080</v>
      </c>
      <c r="B89" s="86">
        <v>610</v>
      </c>
      <c r="C89" s="87" t="s">
        <v>115</v>
      </c>
      <c r="D89" s="21">
        <f>'№ 6'!E430</f>
        <v>132.19999999999999</v>
      </c>
      <c r="E89" s="21">
        <f>'№ 6'!F430</f>
        <v>0</v>
      </c>
      <c r="F89" s="21">
        <f>'№ 6'!G430</f>
        <v>0</v>
      </c>
    </row>
    <row r="90" spans="1:6" ht="31.5">
      <c r="A90" s="88">
        <v>1130120260</v>
      </c>
      <c r="B90" s="24"/>
      <c r="C90" s="59" t="s">
        <v>264</v>
      </c>
      <c r="D90" s="36">
        <f>D91</f>
        <v>124.4</v>
      </c>
      <c r="E90" s="36">
        <f>E91</f>
        <v>124.4</v>
      </c>
      <c r="F90" s="36">
        <f>F91</f>
        <v>0</v>
      </c>
    </row>
    <row r="91" spans="1:6" ht="31.5">
      <c r="A91" s="88">
        <v>1130120260</v>
      </c>
      <c r="B91" s="86" t="s">
        <v>72</v>
      </c>
      <c r="C91" s="59" t="s">
        <v>102</v>
      </c>
      <c r="D91" s="36">
        <f>D92</f>
        <v>124.4</v>
      </c>
      <c r="E91" s="36">
        <f t="shared" ref="E91:F91" si="37">E92</f>
        <v>124.4</v>
      </c>
      <c r="F91" s="36">
        <f t="shared" si="37"/>
        <v>0</v>
      </c>
    </row>
    <row r="92" spans="1:6" ht="31.5">
      <c r="A92" s="88">
        <v>1130120260</v>
      </c>
      <c r="B92" s="86">
        <v>240</v>
      </c>
      <c r="C92" s="59" t="s">
        <v>315</v>
      </c>
      <c r="D92" s="36">
        <f>'№ 6'!E524</f>
        <v>124.4</v>
      </c>
      <c r="E92" s="36">
        <f>'№ 6'!F524</f>
        <v>124.4</v>
      </c>
      <c r="F92" s="36">
        <f>'№ 6'!G524</f>
        <v>0</v>
      </c>
    </row>
    <row r="93" spans="1:6" ht="31.5">
      <c r="A93" s="88" t="s">
        <v>326</v>
      </c>
      <c r="B93" s="86"/>
      <c r="C93" s="87" t="s">
        <v>327</v>
      </c>
      <c r="D93" s="36">
        <f>D94</f>
        <v>14.299999999999999</v>
      </c>
      <c r="E93" s="36">
        <f t="shared" ref="E93:F94" si="38">E94</f>
        <v>15.4</v>
      </c>
      <c r="F93" s="36">
        <f t="shared" si="38"/>
        <v>0</v>
      </c>
    </row>
    <row r="94" spans="1:6" ht="31.5">
      <c r="A94" s="88" t="s">
        <v>326</v>
      </c>
      <c r="B94" s="88" t="s">
        <v>104</v>
      </c>
      <c r="C94" s="87" t="s">
        <v>105</v>
      </c>
      <c r="D94" s="36">
        <f>D95</f>
        <v>14.299999999999999</v>
      </c>
      <c r="E94" s="36">
        <f t="shared" si="38"/>
        <v>15.4</v>
      </c>
      <c r="F94" s="36">
        <f t="shared" si="38"/>
        <v>0</v>
      </c>
    </row>
    <row r="95" spans="1:6">
      <c r="A95" s="88" t="s">
        <v>326</v>
      </c>
      <c r="B95" s="86">
        <v>610</v>
      </c>
      <c r="C95" s="87" t="s">
        <v>115</v>
      </c>
      <c r="D95" s="36">
        <f>'№ 6'!E433</f>
        <v>14.299999999999999</v>
      </c>
      <c r="E95" s="36">
        <f>'№ 6'!F433</f>
        <v>15.4</v>
      </c>
      <c r="F95" s="36">
        <f>'№ 6'!G433</f>
        <v>0</v>
      </c>
    </row>
    <row r="96" spans="1:6" ht="31.5">
      <c r="A96" s="86">
        <v>1130200000</v>
      </c>
      <c r="B96" s="86"/>
      <c r="C96" s="59" t="s">
        <v>213</v>
      </c>
      <c r="D96" s="36">
        <f>D97</f>
        <v>195.99999999999997</v>
      </c>
      <c r="E96" s="36">
        <f t="shared" ref="E96:F96" si="39">E97</f>
        <v>288.09999999999997</v>
      </c>
      <c r="F96" s="36">
        <f t="shared" si="39"/>
        <v>0</v>
      </c>
    </row>
    <row r="97" spans="1:6" ht="31.5">
      <c r="A97" s="86">
        <v>1130220270</v>
      </c>
      <c r="B97" s="86"/>
      <c r="C97" s="59" t="s">
        <v>214</v>
      </c>
      <c r="D97" s="36">
        <f>D98+D100</f>
        <v>195.99999999999997</v>
      </c>
      <c r="E97" s="36">
        <f t="shared" ref="E97:F97" si="40">E98+E100</f>
        <v>288.09999999999997</v>
      </c>
      <c r="F97" s="36">
        <f t="shared" si="40"/>
        <v>0</v>
      </c>
    </row>
    <row r="98" spans="1:6" ht="31.5">
      <c r="A98" s="86">
        <v>1130220270</v>
      </c>
      <c r="B98" s="86" t="s">
        <v>72</v>
      </c>
      <c r="C98" s="59" t="s">
        <v>102</v>
      </c>
      <c r="D98" s="36">
        <f>D99</f>
        <v>153.09999999999997</v>
      </c>
      <c r="E98" s="36">
        <f t="shared" ref="E98:F98" si="41">E99</f>
        <v>200.89999999999998</v>
      </c>
      <c r="F98" s="36">
        <f t="shared" si="41"/>
        <v>0</v>
      </c>
    </row>
    <row r="99" spans="1:6" ht="31.5">
      <c r="A99" s="86">
        <v>1130220270</v>
      </c>
      <c r="B99" s="86">
        <v>240</v>
      </c>
      <c r="C99" s="59" t="s">
        <v>315</v>
      </c>
      <c r="D99" s="36">
        <f>'№ 6'!E528+'№ 6'!E498</f>
        <v>153.09999999999997</v>
      </c>
      <c r="E99" s="36">
        <f>'№ 6'!F528+'№ 6'!F498</f>
        <v>200.89999999999998</v>
      </c>
      <c r="F99" s="36">
        <f>'№ 6'!G528+'№ 6'!G498</f>
        <v>0</v>
      </c>
    </row>
    <row r="100" spans="1:6">
      <c r="A100" s="86">
        <v>1130220270</v>
      </c>
      <c r="B100" s="1" t="s">
        <v>76</v>
      </c>
      <c r="C100" s="57" t="s">
        <v>77</v>
      </c>
      <c r="D100" s="36">
        <f>D101</f>
        <v>42.900000000000006</v>
      </c>
      <c r="E100" s="36">
        <f t="shared" ref="E100:F100" si="42">E101</f>
        <v>87.2</v>
      </c>
      <c r="F100" s="36">
        <f t="shared" si="42"/>
        <v>0</v>
      </c>
    </row>
    <row r="101" spans="1:6">
      <c r="A101" s="86">
        <v>1130220270</v>
      </c>
      <c r="B101" s="86">
        <v>350</v>
      </c>
      <c r="C101" s="87" t="s">
        <v>181</v>
      </c>
      <c r="D101" s="36">
        <f>'№ 6'!E530</f>
        <v>42.900000000000006</v>
      </c>
      <c r="E101" s="36">
        <f>'№ 6'!F530</f>
        <v>87.2</v>
      </c>
      <c r="F101" s="36">
        <f>'№ 6'!G530</f>
        <v>0</v>
      </c>
    </row>
    <row r="102" spans="1:6" ht="47.25">
      <c r="A102" s="88">
        <v>1130300000</v>
      </c>
      <c r="B102" s="24"/>
      <c r="C102" s="59" t="s">
        <v>127</v>
      </c>
      <c r="D102" s="36">
        <f>D103</f>
        <v>452.9</v>
      </c>
      <c r="E102" s="36">
        <f t="shared" ref="E102:F104" si="43">E103</f>
        <v>420.7</v>
      </c>
      <c r="F102" s="36">
        <f t="shared" si="43"/>
        <v>0</v>
      </c>
    </row>
    <row r="103" spans="1:6" ht="31.5">
      <c r="A103" s="88">
        <v>1130320280</v>
      </c>
      <c r="B103" s="24"/>
      <c r="C103" s="59" t="s">
        <v>128</v>
      </c>
      <c r="D103" s="36">
        <f>D104</f>
        <v>452.9</v>
      </c>
      <c r="E103" s="36">
        <f t="shared" si="43"/>
        <v>420.7</v>
      </c>
      <c r="F103" s="36">
        <f t="shared" si="43"/>
        <v>0</v>
      </c>
    </row>
    <row r="104" spans="1:6" ht="31.5">
      <c r="A104" s="88">
        <v>1130320280</v>
      </c>
      <c r="B104" s="88" t="s">
        <v>104</v>
      </c>
      <c r="C104" s="87" t="s">
        <v>105</v>
      </c>
      <c r="D104" s="36">
        <f>D105</f>
        <v>452.9</v>
      </c>
      <c r="E104" s="36">
        <f t="shared" si="43"/>
        <v>420.7</v>
      </c>
      <c r="F104" s="36">
        <f t="shared" si="43"/>
        <v>0</v>
      </c>
    </row>
    <row r="105" spans="1:6">
      <c r="A105" s="88">
        <v>1130320280</v>
      </c>
      <c r="B105" s="86">
        <v>610</v>
      </c>
      <c r="C105" s="87" t="s">
        <v>115</v>
      </c>
      <c r="D105" s="36">
        <f>'№ 6'!E193</f>
        <v>452.9</v>
      </c>
      <c r="E105" s="36">
        <f>'№ 6'!F193</f>
        <v>420.7</v>
      </c>
      <c r="F105" s="36">
        <f>'№ 6'!G193</f>
        <v>0</v>
      </c>
    </row>
    <row r="106" spans="1:6" ht="31.5">
      <c r="A106" s="86">
        <v>1130400000</v>
      </c>
      <c r="B106" s="86"/>
      <c r="C106" s="59" t="s">
        <v>160</v>
      </c>
      <c r="D106" s="36">
        <f>D107</f>
        <v>69.8</v>
      </c>
      <c r="E106" s="36">
        <f t="shared" ref="E106:F108" si="44">E107</f>
        <v>69.8</v>
      </c>
      <c r="F106" s="36">
        <f t="shared" si="44"/>
        <v>0</v>
      </c>
    </row>
    <row r="107" spans="1:6" ht="31.5">
      <c r="A107" s="86">
        <v>1130420290</v>
      </c>
      <c r="B107" s="86"/>
      <c r="C107" s="59" t="s">
        <v>161</v>
      </c>
      <c r="D107" s="36">
        <f>D108</f>
        <v>69.8</v>
      </c>
      <c r="E107" s="36">
        <f t="shared" si="44"/>
        <v>69.8</v>
      </c>
      <c r="F107" s="36">
        <f t="shared" si="44"/>
        <v>0</v>
      </c>
    </row>
    <row r="108" spans="1:6" ht="31.5">
      <c r="A108" s="86">
        <v>1130420290</v>
      </c>
      <c r="B108" s="88" t="s">
        <v>72</v>
      </c>
      <c r="C108" s="87" t="s">
        <v>102</v>
      </c>
      <c r="D108" s="36">
        <f>D109</f>
        <v>69.8</v>
      </c>
      <c r="E108" s="36">
        <f t="shared" si="44"/>
        <v>69.8</v>
      </c>
      <c r="F108" s="36">
        <f t="shared" si="44"/>
        <v>0</v>
      </c>
    </row>
    <row r="109" spans="1:6" ht="31.5">
      <c r="A109" s="86">
        <v>1130420290</v>
      </c>
      <c r="B109" s="86">
        <v>240</v>
      </c>
      <c r="C109" s="87" t="s">
        <v>315</v>
      </c>
      <c r="D109" s="36">
        <f>'№ 6'!E502</f>
        <v>69.8</v>
      </c>
      <c r="E109" s="36">
        <f>'№ 6'!F502</f>
        <v>69.8</v>
      </c>
      <c r="F109" s="36">
        <f>'№ 6'!G502</f>
        <v>0</v>
      </c>
    </row>
    <row r="110" spans="1:6" ht="31.5">
      <c r="A110" s="86">
        <v>1130500000</v>
      </c>
      <c r="B110" s="86"/>
      <c r="C110" s="87" t="s">
        <v>384</v>
      </c>
      <c r="D110" s="36">
        <f>D111</f>
        <v>39</v>
      </c>
      <c r="E110" s="36">
        <f t="shared" ref="E110:F112" si="45">E111</f>
        <v>0</v>
      </c>
      <c r="F110" s="36">
        <f t="shared" si="45"/>
        <v>0</v>
      </c>
    </row>
    <row r="111" spans="1:6" ht="31.5">
      <c r="A111" s="86">
        <v>1130520300</v>
      </c>
      <c r="B111" s="86"/>
      <c r="C111" s="87" t="s">
        <v>385</v>
      </c>
      <c r="D111" s="36">
        <f>D112</f>
        <v>39</v>
      </c>
      <c r="E111" s="36">
        <f t="shared" si="45"/>
        <v>0</v>
      </c>
      <c r="F111" s="36">
        <f t="shared" si="45"/>
        <v>0</v>
      </c>
    </row>
    <row r="112" spans="1:6" ht="31.5">
      <c r="A112" s="86">
        <v>1130520300</v>
      </c>
      <c r="B112" s="86" t="s">
        <v>72</v>
      </c>
      <c r="C112" s="87" t="s">
        <v>102</v>
      </c>
      <c r="D112" s="36">
        <f>D113</f>
        <v>39</v>
      </c>
      <c r="E112" s="36">
        <f t="shared" si="45"/>
        <v>0</v>
      </c>
      <c r="F112" s="36">
        <f t="shared" si="45"/>
        <v>0</v>
      </c>
    </row>
    <row r="113" spans="1:6" ht="31.5">
      <c r="A113" s="86">
        <v>1130520300</v>
      </c>
      <c r="B113" s="86">
        <v>240</v>
      </c>
      <c r="C113" s="87" t="s">
        <v>315</v>
      </c>
      <c r="D113" s="36">
        <f>'№ 6'!E534</f>
        <v>39</v>
      </c>
      <c r="E113" s="36">
        <f>'№ 6'!F534</f>
        <v>0</v>
      </c>
      <c r="F113" s="36">
        <f>'№ 6'!G534</f>
        <v>0</v>
      </c>
    </row>
    <row r="114" spans="1:6" s="33" customFormat="1" ht="47.25">
      <c r="A114" s="27">
        <v>1200000000</v>
      </c>
      <c r="B114" s="15"/>
      <c r="C114" s="64" t="s">
        <v>216</v>
      </c>
      <c r="D114" s="35">
        <f>D115+D133+D156+D187+D252</f>
        <v>106230.3</v>
      </c>
      <c r="E114" s="35">
        <f>E115+E133+E156+E187+E252</f>
        <v>130538.4</v>
      </c>
      <c r="F114" s="35">
        <f>F115+F133+F156+F187+F252</f>
        <v>44235.8</v>
      </c>
    </row>
    <row r="115" spans="1:6">
      <c r="A115" s="88">
        <v>1210000000</v>
      </c>
      <c r="B115" s="86"/>
      <c r="C115" s="87" t="s">
        <v>232</v>
      </c>
      <c r="D115" s="39">
        <f>D116+D126</f>
        <v>14329.1</v>
      </c>
      <c r="E115" s="39">
        <f>E116+E126</f>
        <v>9800.4</v>
      </c>
      <c r="F115" s="39">
        <f>F116+F126</f>
        <v>9800.4</v>
      </c>
    </row>
    <row r="116" spans="1:6" ht="31.5">
      <c r="A116" s="88">
        <v>1210100000</v>
      </c>
      <c r="B116" s="86"/>
      <c r="C116" s="87" t="s">
        <v>233</v>
      </c>
      <c r="D116" s="36">
        <f>D120+D117+D123</f>
        <v>14209.4</v>
      </c>
      <c r="E116" s="36">
        <f t="shared" ref="E116:F116" si="46">E120+E117+E123</f>
        <v>9720.4</v>
      </c>
      <c r="F116" s="36">
        <f t="shared" si="46"/>
        <v>9720.4</v>
      </c>
    </row>
    <row r="117" spans="1:6" ht="47.25">
      <c r="A117" s="88">
        <v>1210110680</v>
      </c>
      <c r="B117" s="86"/>
      <c r="C117" s="73" t="s">
        <v>398</v>
      </c>
      <c r="D117" s="36">
        <f>D118</f>
        <v>4045.6000000000004</v>
      </c>
      <c r="E117" s="36">
        <f t="shared" ref="E117:F118" si="47">E118</f>
        <v>0</v>
      </c>
      <c r="F117" s="36">
        <f t="shared" si="47"/>
        <v>0</v>
      </c>
    </row>
    <row r="118" spans="1:6" ht="31.5">
      <c r="A118" s="88">
        <v>1210110680</v>
      </c>
      <c r="B118" s="88" t="s">
        <v>104</v>
      </c>
      <c r="C118" s="66" t="s">
        <v>105</v>
      </c>
      <c r="D118" s="36">
        <f>D119</f>
        <v>4045.6000000000004</v>
      </c>
      <c r="E118" s="36">
        <f t="shared" si="47"/>
        <v>0</v>
      </c>
      <c r="F118" s="36">
        <f t="shared" si="47"/>
        <v>0</v>
      </c>
    </row>
    <row r="119" spans="1:6">
      <c r="A119" s="88">
        <v>1210110680</v>
      </c>
      <c r="B119" s="86">
        <v>610</v>
      </c>
      <c r="C119" s="66" t="s">
        <v>115</v>
      </c>
      <c r="D119" s="36">
        <f>'№ 6'!E550</f>
        <v>4045.6000000000004</v>
      </c>
      <c r="E119" s="36">
        <f>'№ 6'!F550</f>
        <v>0</v>
      </c>
      <c r="F119" s="36">
        <f>'№ 6'!G550</f>
        <v>0</v>
      </c>
    </row>
    <row r="120" spans="1:6" ht="31.5">
      <c r="A120" s="88">
        <v>1210120010</v>
      </c>
      <c r="B120" s="86"/>
      <c r="C120" s="87" t="s">
        <v>135</v>
      </c>
      <c r="D120" s="36">
        <f>D121</f>
        <v>10123.299999999999</v>
      </c>
      <c r="E120" s="36">
        <f t="shared" ref="E120:F121" si="48">E121</f>
        <v>9720.4</v>
      </c>
      <c r="F120" s="36">
        <f t="shared" si="48"/>
        <v>9720.4</v>
      </c>
    </row>
    <row r="121" spans="1:6" ht="31.5">
      <c r="A121" s="88">
        <v>1210120010</v>
      </c>
      <c r="B121" s="88" t="s">
        <v>104</v>
      </c>
      <c r="C121" s="87" t="s">
        <v>105</v>
      </c>
      <c r="D121" s="36">
        <f>D122</f>
        <v>10123.299999999999</v>
      </c>
      <c r="E121" s="36">
        <f t="shared" si="48"/>
        <v>9720.4</v>
      </c>
      <c r="F121" s="36">
        <f t="shared" si="48"/>
        <v>9720.4</v>
      </c>
    </row>
    <row r="122" spans="1:6">
      <c r="A122" s="88">
        <v>1210120010</v>
      </c>
      <c r="B122" s="86">
        <v>610</v>
      </c>
      <c r="C122" s="87" t="s">
        <v>115</v>
      </c>
      <c r="D122" s="36">
        <f>'№ 6'!E553</f>
        <v>10123.299999999999</v>
      </c>
      <c r="E122" s="36">
        <f>'№ 6'!F553</f>
        <v>9720.4</v>
      </c>
      <c r="F122" s="36">
        <f>'№ 6'!G553</f>
        <v>9720.4</v>
      </c>
    </row>
    <row r="123" spans="1:6" ht="30" customHeight="1">
      <c r="A123" s="88" t="s">
        <v>399</v>
      </c>
      <c r="B123" s="86"/>
      <c r="C123" s="73" t="s">
        <v>400</v>
      </c>
      <c r="D123" s="36">
        <f>D124</f>
        <v>40.5</v>
      </c>
      <c r="E123" s="36">
        <f t="shared" ref="E123:F124" si="49">E124</f>
        <v>0</v>
      </c>
      <c r="F123" s="36">
        <f t="shared" si="49"/>
        <v>0</v>
      </c>
    </row>
    <row r="124" spans="1:6" ht="31.5">
      <c r="A124" s="88" t="s">
        <v>399</v>
      </c>
      <c r="B124" s="88" t="s">
        <v>104</v>
      </c>
      <c r="C124" s="66" t="s">
        <v>105</v>
      </c>
      <c r="D124" s="36">
        <f>D125</f>
        <v>40.5</v>
      </c>
      <c r="E124" s="36">
        <f t="shared" si="49"/>
        <v>0</v>
      </c>
      <c r="F124" s="36">
        <f t="shared" si="49"/>
        <v>0</v>
      </c>
    </row>
    <row r="125" spans="1:6">
      <c r="A125" s="88" t="s">
        <v>399</v>
      </c>
      <c r="B125" s="86">
        <v>610</v>
      </c>
      <c r="C125" s="66" t="s">
        <v>115</v>
      </c>
      <c r="D125" s="36">
        <f>'№ 6'!E556</f>
        <v>40.5</v>
      </c>
      <c r="E125" s="36">
        <f>'№ 6'!F556</f>
        <v>0</v>
      </c>
      <c r="F125" s="36">
        <f>'№ 6'!G556</f>
        <v>0</v>
      </c>
    </row>
    <row r="126" spans="1:6" ht="31.5">
      <c r="A126" s="88">
        <v>1210300000</v>
      </c>
      <c r="B126" s="86"/>
      <c r="C126" s="87" t="s">
        <v>234</v>
      </c>
      <c r="D126" s="36">
        <f>D127+D130</f>
        <v>119.7</v>
      </c>
      <c r="E126" s="36">
        <f t="shared" ref="E126:F126" si="50">E127+E130</f>
        <v>80</v>
      </c>
      <c r="F126" s="36">
        <f t="shared" si="50"/>
        <v>80</v>
      </c>
    </row>
    <row r="127" spans="1:6">
      <c r="A127" s="86">
        <v>1210320010</v>
      </c>
      <c r="B127" s="86"/>
      <c r="C127" s="87" t="s">
        <v>282</v>
      </c>
      <c r="D127" s="36">
        <f>D128</f>
        <v>80</v>
      </c>
      <c r="E127" s="36">
        <f t="shared" ref="E127:F128" si="51">E128</f>
        <v>80</v>
      </c>
      <c r="F127" s="36">
        <f t="shared" si="51"/>
        <v>80</v>
      </c>
    </row>
    <row r="128" spans="1:6" ht="31.5">
      <c r="A128" s="86">
        <v>1210320010</v>
      </c>
      <c r="B128" s="88" t="s">
        <v>104</v>
      </c>
      <c r="C128" s="87" t="s">
        <v>105</v>
      </c>
      <c r="D128" s="36">
        <f>D129</f>
        <v>80</v>
      </c>
      <c r="E128" s="36">
        <f t="shared" si="51"/>
        <v>80</v>
      </c>
      <c r="F128" s="36">
        <f t="shared" si="51"/>
        <v>80</v>
      </c>
    </row>
    <row r="129" spans="1:6">
      <c r="A129" s="86">
        <v>1210320010</v>
      </c>
      <c r="B129" s="86">
        <v>610</v>
      </c>
      <c r="C129" s="87" t="s">
        <v>115</v>
      </c>
      <c r="D129" s="36">
        <f>'№ 6'!E560</f>
        <v>80</v>
      </c>
      <c r="E129" s="36">
        <f>'№ 6'!F560</f>
        <v>80</v>
      </c>
      <c r="F129" s="36">
        <f>'№ 6'!G560</f>
        <v>80</v>
      </c>
    </row>
    <row r="130" spans="1:6" ht="31.5">
      <c r="A130" s="128">
        <v>1210320030</v>
      </c>
      <c r="B130" s="128"/>
      <c r="C130" s="129" t="s">
        <v>476</v>
      </c>
      <c r="D130" s="36">
        <f>D131</f>
        <v>39.700000000000003</v>
      </c>
      <c r="E130" s="36">
        <f t="shared" ref="E130:F131" si="52">E131</f>
        <v>0</v>
      </c>
      <c r="F130" s="36">
        <f t="shared" si="52"/>
        <v>0</v>
      </c>
    </row>
    <row r="131" spans="1:6" ht="31.5">
      <c r="A131" s="128">
        <v>1210320030</v>
      </c>
      <c r="B131" s="130" t="s">
        <v>104</v>
      </c>
      <c r="C131" s="129" t="s">
        <v>105</v>
      </c>
      <c r="D131" s="36">
        <f>D132</f>
        <v>39.700000000000003</v>
      </c>
      <c r="E131" s="36">
        <f t="shared" si="52"/>
        <v>0</v>
      </c>
      <c r="F131" s="36">
        <f t="shared" si="52"/>
        <v>0</v>
      </c>
    </row>
    <row r="132" spans="1:6">
      <c r="A132" s="128">
        <v>1210320030</v>
      </c>
      <c r="B132" s="128">
        <v>610</v>
      </c>
      <c r="C132" s="129" t="s">
        <v>115</v>
      </c>
      <c r="D132" s="36">
        <f>'№ 6'!E563</f>
        <v>39.700000000000003</v>
      </c>
      <c r="E132" s="36">
        <f>'№ 6'!F563</f>
        <v>0</v>
      </c>
      <c r="F132" s="36">
        <f>'№ 6'!G563</f>
        <v>0</v>
      </c>
    </row>
    <row r="133" spans="1:6" ht="31.5">
      <c r="A133" s="88">
        <v>1220000000</v>
      </c>
      <c r="B133" s="86"/>
      <c r="C133" s="87" t="s">
        <v>162</v>
      </c>
      <c r="D133" s="36">
        <f>D134+D152+D144+D148</f>
        <v>27662.6</v>
      </c>
      <c r="E133" s="36">
        <f>E134+E152+E144+E148</f>
        <v>18381</v>
      </c>
      <c r="F133" s="36">
        <f>F134+F152+F144+F148</f>
        <v>19252.400000000001</v>
      </c>
    </row>
    <row r="134" spans="1:6" ht="31.5">
      <c r="A134" s="86">
        <v>1220100000</v>
      </c>
      <c r="B134" s="86"/>
      <c r="C134" s="87" t="s">
        <v>235</v>
      </c>
      <c r="D134" s="36">
        <f>D138+D135+D141</f>
        <v>25516</v>
      </c>
      <c r="E134" s="36">
        <f t="shared" ref="E134:F134" si="53">E138+E135+E141</f>
        <v>18381</v>
      </c>
      <c r="F134" s="36">
        <f t="shared" si="53"/>
        <v>18381</v>
      </c>
    </row>
    <row r="135" spans="1:6" ht="47.25">
      <c r="A135" s="86">
        <v>1220110680</v>
      </c>
      <c r="B135" s="86"/>
      <c r="C135" s="73" t="s">
        <v>398</v>
      </c>
      <c r="D135" s="36">
        <f>D136</f>
        <v>7576.8</v>
      </c>
      <c r="E135" s="36">
        <f t="shared" ref="E135:F136" si="54">E136</f>
        <v>0</v>
      </c>
      <c r="F135" s="36">
        <f t="shared" si="54"/>
        <v>0</v>
      </c>
    </row>
    <row r="136" spans="1:6" ht="31.5">
      <c r="A136" s="86">
        <v>1220110680</v>
      </c>
      <c r="B136" s="88" t="s">
        <v>104</v>
      </c>
      <c r="C136" s="66" t="s">
        <v>105</v>
      </c>
      <c r="D136" s="36">
        <f>D137</f>
        <v>7576.8</v>
      </c>
      <c r="E136" s="36">
        <f t="shared" si="54"/>
        <v>0</v>
      </c>
      <c r="F136" s="36">
        <f t="shared" si="54"/>
        <v>0</v>
      </c>
    </row>
    <row r="137" spans="1:6">
      <c r="A137" s="86">
        <v>1220110680</v>
      </c>
      <c r="B137" s="86">
        <v>610</v>
      </c>
      <c r="C137" s="66" t="s">
        <v>115</v>
      </c>
      <c r="D137" s="36">
        <f>'№ 6'!E568</f>
        <v>7576.8</v>
      </c>
      <c r="E137" s="36">
        <f>'№ 6'!F568</f>
        <v>0</v>
      </c>
      <c r="F137" s="36">
        <f>'№ 6'!G568</f>
        <v>0</v>
      </c>
    </row>
    <row r="138" spans="1:6" ht="31.5">
      <c r="A138" s="86">
        <v>1220120010</v>
      </c>
      <c r="B138" s="86"/>
      <c r="C138" s="87" t="s">
        <v>135</v>
      </c>
      <c r="D138" s="36">
        <f>D139</f>
        <v>17863.5</v>
      </c>
      <c r="E138" s="36">
        <f t="shared" ref="E138:F139" si="55">E139</f>
        <v>18381</v>
      </c>
      <c r="F138" s="36">
        <f t="shared" si="55"/>
        <v>18381</v>
      </c>
    </row>
    <row r="139" spans="1:6" ht="31.5">
      <c r="A139" s="86">
        <v>1220120010</v>
      </c>
      <c r="B139" s="88" t="s">
        <v>104</v>
      </c>
      <c r="C139" s="87" t="s">
        <v>105</v>
      </c>
      <c r="D139" s="36">
        <f>D140</f>
        <v>17863.5</v>
      </c>
      <c r="E139" s="36">
        <f t="shared" si="55"/>
        <v>18381</v>
      </c>
      <c r="F139" s="36">
        <f t="shared" si="55"/>
        <v>18381</v>
      </c>
    </row>
    <row r="140" spans="1:6">
      <c r="A140" s="86">
        <v>1220120010</v>
      </c>
      <c r="B140" s="86">
        <v>610</v>
      </c>
      <c r="C140" s="87" t="s">
        <v>115</v>
      </c>
      <c r="D140" s="36">
        <f>'№ 6'!E571</f>
        <v>17863.5</v>
      </c>
      <c r="E140" s="36">
        <f>'№ 6'!F571</f>
        <v>18381</v>
      </c>
      <c r="F140" s="36">
        <f>'№ 6'!G571</f>
        <v>18381</v>
      </c>
    </row>
    <row r="141" spans="1:6" ht="30" customHeight="1">
      <c r="A141" s="86" t="s">
        <v>401</v>
      </c>
      <c r="B141" s="86"/>
      <c r="C141" s="73" t="s">
        <v>400</v>
      </c>
      <c r="D141" s="36">
        <f>D142</f>
        <v>75.7</v>
      </c>
      <c r="E141" s="36">
        <f t="shared" ref="E141:F142" si="56">E142</f>
        <v>0</v>
      </c>
      <c r="F141" s="36">
        <f t="shared" si="56"/>
        <v>0</v>
      </c>
    </row>
    <row r="142" spans="1:6" ht="31.5">
      <c r="A142" s="86" t="s">
        <v>401</v>
      </c>
      <c r="B142" s="88" t="s">
        <v>104</v>
      </c>
      <c r="C142" s="66" t="s">
        <v>105</v>
      </c>
      <c r="D142" s="36">
        <f>D143</f>
        <v>75.7</v>
      </c>
      <c r="E142" s="36">
        <f t="shared" si="56"/>
        <v>0</v>
      </c>
      <c r="F142" s="36">
        <f t="shared" si="56"/>
        <v>0</v>
      </c>
    </row>
    <row r="143" spans="1:6">
      <c r="A143" s="86" t="s">
        <v>401</v>
      </c>
      <c r="B143" s="86">
        <v>610</v>
      </c>
      <c r="C143" s="66" t="s">
        <v>115</v>
      </c>
      <c r="D143" s="36">
        <f>'№ 6'!E574</f>
        <v>75.7</v>
      </c>
      <c r="E143" s="36">
        <f>'№ 6'!F574</f>
        <v>0</v>
      </c>
      <c r="F143" s="36">
        <f>'№ 6'!G574</f>
        <v>0</v>
      </c>
    </row>
    <row r="144" spans="1:6" ht="47.25">
      <c r="A144" s="86">
        <v>1220200000</v>
      </c>
      <c r="B144" s="86"/>
      <c r="C144" s="66" t="s">
        <v>349</v>
      </c>
      <c r="D144" s="36">
        <f>D145</f>
        <v>406.1</v>
      </c>
      <c r="E144" s="36">
        <f t="shared" ref="E144:F146" si="57">E145</f>
        <v>0</v>
      </c>
      <c r="F144" s="36">
        <f t="shared" si="57"/>
        <v>0</v>
      </c>
    </row>
    <row r="145" spans="1:6">
      <c r="A145" s="86">
        <v>1220220020</v>
      </c>
      <c r="B145" s="86"/>
      <c r="C145" s="66" t="s">
        <v>350</v>
      </c>
      <c r="D145" s="36">
        <f>D146</f>
        <v>406.1</v>
      </c>
      <c r="E145" s="36">
        <f t="shared" si="57"/>
        <v>0</v>
      </c>
      <c r="F145" s="36">
        <f t="shared" si="57"/>
        <v>0</v>
      </c>
    </row>
    <row r="146" spans="1:6" ht="31.5">
      <c r="A146" s="86">
        <v>1220220020</v>
      </c>
      <c r="B146" s="88" t="s">
        <v>104</v>
      </c>
      <c r="C146" s="66" t="s">
        <v>105</v>
      </c>
      <c r="D146" s="36">
        <f>D147</f>
        <v>406.1</v>
      </c>
      <c r="E146" s="36">
        <f t="shared" si="57"/>
        <v>0</v>
      </c>
      <c r="F146" s="36">
        <f t="shared" si="57"/>
        <v>0</v>
      </c>
    </row>
    <row r="147" spans="1:6">
      <c r="A147" s="86">
        <v>1220220020</v>
      </c>
      <c r="B147" s="86">
        <v>610</v>
      </c>
      <c r="C147" s="66" t="s">
        <v>115</v>
      </c>
      <c r="D147" s="36">
        <f>'№ 6'!E578</f>
        <v>406.1</v>
      </c>
      <c r="E147" s="36">
        <f>'№ 6'!F578</f>
        <v>0</v>
      </c>
      <c r="F147" s="36">
        <f>'№ 6'!G578</f>
        <v>0</v>
      </c>
    </row>
    <row r="148" spans="1:6" ht="47.25">
      <c r="A148" s="86">
        <v>1220300000</v>
      </c>
      <c r="B148" s="86"/>
      <c r="C148" s="66" t="s">
        <v>381</v>
      </c>
      <c r="D148" s="36">
        <f>D149</f>
        <v>379.40000000000003</v>
      </c>
      <c r="E148" s="36">
        <f t="shared" ref="E148:F150" si="58">E149</f>
        <v>0</v>
      </c>
      <c r="F148" s="36">
        <f t="shared" si="58"/>
        <v>0</v>
      </c>
    </row>
    <row r="149" spans="1:6" ht="31.5">
      <c r="A149" s="86" t="s">
        <v>382</v>
      </c>
      <c r="B149" s="86"/>
      <c r="C149" s="66" t="s">
        <v>402</v>
      </c>
      <c r="D149" s="36">
        <f>D150</f>
        <v>379.40000000000003</v>
      </c>
      <c r="E149" s="36">
        <f t="shared" si="58"/>
        <v>0</v>
      </c>
      <c r="F149" s="36">
        <f t="shared" si="58"/>
        <v>0</v>
      </c>
    </row>
    <row r="150" spans="1:6" ht="31.5">
      <c r="A150" s="86" t="s">
        <v>382</v>
      </c>
      <c r="B150" s="88" t="s">
        <v>104</v>
      </c>
      <c r="C150" s="66" t="s">
        <v>105</v>
      </c>
      <c r="D150" s="36">
        <f>D151</f>
        <v>379.40000000000003</v>
      </c>
      <c r="E150" s="36">
        <f t="shared" si="58"/>
        <v>0</v>
      </c>
      <c r="F150" s="36">
        <f t="shared" si="58"/>
        <v>0</v>
      </c>
    </row>
    <row r="151" spans="1:6">
      <c r="A151" s="86" t="s">
        <v>382</v>
      </c>
      <c r="B151" s="86">
        <v>610</v>
      </c>
      <c r="C151" s="66" t="s">
        <v>115</v>
      </c>
      <c r="D151" s="36">
        <f>'№ 6'!E582</f>
        <v>379.40000000000003</v>
      </c>
      <c r="E151" s="36">
        <f>'№ 6'!F582</f>
        <v>0</v>
      </c>
      <c r="F151" s="36">
        <f>'№ 6'!G582</f>
        <v>0</v>
      </c>
    </row>
    <row r="152" spans="1:6" ht="31.5">
      <c r="A152" s="86">
        <v>1220500000</v>
      </c>
      <c r="B152" s="86"/>
      <c r="C152" s="87" t="s">
        <v>236</v>
      </c>
      <c r="D152" s="36">
        <f>D153</f>
        <v>1361.1000000000001</v>
      </c>
      <c r="E152" s="36">
        <f t="shared" ref="E152:F154" si="59">E153</f>
        <v>0</v>
      </c>
      <c r="F152" s="36">
        <f t="shared" si="59"/>
        <v>871.4</v>
      </c>
    </row>
    <row r="153" spans="1:6">
      <c r="A153" s="86">
        <v>1220520320</v>
      </c>
      <c r="B153" s="86"/>
      <c r="C153" s="87" t="s">
        <v>163</v>
      </c>
      <c r="D153" s="36">
        <f>D154</f>
        <v>1361.1000000000001</v>
      </c>
      <c r="E153" s="36">
        <f t="shared" si="59"/>
        <v>0</v>
      </c>
      <c r="F153" s="36">
        <f t="shared" si="59"/>
        <v>871.4</v>
      </c>
    </row>
    <row r="154" spans="1:6" ht="31.5">
      <c r="A154" s="86">
        <v>1220520320</v>
      </c>
      <c r="B154" s="88" t="s">
        <v>104</v>
      </c>
      <c r="C154" s="87" t="s">
        <v>105</v>
      </c>
      <c r="D154" s="36">
        <f>D155</f>
        <v>1361.1000000000001</v>
      </c>
      <c r="E154" s="36">
        <f t="shared" si="59"/>
        <v>0</v>
      </c>
      <c r="F154" s="36">
        <f t="shared" si="59"/>
        <v>871.4</v>
      </c>
    </row>
    <row r="155" spans="1:6">
      <c r="A155" s="86">
        <v>1220520320</v>
      </c>
      <c r="B155" s="86">
        <v>610</v>
      </c>
      <c r="C155" s="87" t="s">
        <v>115</v>
      </c>
      <c r="D155" s="36">
        <f>'№ 6'!E586</f>
        <v>1361.1000000000001</v>
      </c>
      <c r="E155" s="36">
        <f>'№ 6'!F586</f>
        <v>0</v>
      </c>
      <c r="F155" s="36">
        <f>'№ 6'!G586</f>
        <v>871.4</v>
      </c>
    </row>
    <row r="156" spans="1:6">
      <c r="A156" s="86">
        <v>1230000000</v>
      </c>
      <c r="B156" s="86"/>
      <c r="C156" s="87" t="s">
        <v>241</v>
      </c>
      <c r="D156" s="36">
        <f>D157+D161+D169+D165</f>
        <v>12275</v>
      </c>
      <c r="E156" s="36">
        <f>E157+E161+E169+E165</f>
        <v>13390.1</v>
      </c>
      <c r="F156" s="36">
        <f>F157+F161+F169+F165</f>
        <v>10648.9</v>
      </c>
    </row>
    <row r="157" spans="1:6" ht="31.5">
      <c r="A157" s="86">
        <v>1230100000</v>
      </c>
      <c r="B157" s="86"/>
      <c r="C157" s="87" t="s">
        <v>242</v>
      </c>
      <c r="D157" s="36">
        <f>D158</f>
        <v>10653.7</v>
      </c>
      <c r="E157" s="36">
        <f t="shared" ref="E157:F157" si="60">E158</f>
        <v>10394</v>
      </c>
      <c r="F157" s="36">
        <f t="shared" si="60"/>
        <v>10394</v>
      </c>
    </row>
    <row r="158" spans="1:6" ht="31.5">
      <c r="A158" s="86">
        <v>1230120010</v>
      </c>
      <c r="B158" s="86"/>
      <c r="C158" s="87" t="s">
        <v>135</v>
      </c>
      <c r="D158" s="36">
        <f>D159</f>
        <v>10653.7</v>
      </c>
      <c r="E158" s="36">
        <f t="shared" ref="E158:F159" si="61">E159</f>
        <v>10394</v>
      </c>
      <c r="F158" s="36">
        <f t="shared" si="61"/>
        <v>10394</v>
      </c>
    </row>
    <row r="159" spans="1:6" ht="31.5">
      <c r="A159" s="86">
        <v>1230120010</v>
      </c>
      <c r="B159" s="88" t="s">
        <v>104</v>
      </c>
      <c r="C159" s="87" t="s">
        <v>105</v>
      </c>
      <c r="D159" s="36">
        <f>D160</f>
        <v>10653.7</v>
      </c>
      <c r="E159" s="36">
        <f t="shared" si="61"/>
        <v>10394</v>
      </c>
      <c r="F159" s="36">
        <f t="shared" si="61"/>
        <v>10394</v>
      </c>
    </row>
    <row r="160" spans="1:6">
      <c r="A160" s="86">
        <v>1230120010</v>
      </c>
      <c r="B160" s="86">
        <v>610</v>
      </c>
      <c r="C160" s="87" t="s">
        <v>115</v>
      </c>
      <c r="D160" s="36">
        <f>'№ 6'!E647</f>
        <v>10653.7</v>
      </c>
      <c r="E160" s="36">
        <f>'№ 6'!F647</f>
        <v>10394</v>
      </c>
      <c r="F160" s="36">
        <f>'№ 6'!G647</f>
        <v>10394</v>
      </c>
    </row>
    <row r="161" spans="1:6" ht="63">
      <c r="A161" s="86">
        <v>1230200000</v>
      </c>
      <c r="B161" s="86"/>
      <c r="C161" s="87" t="s">
        <v>243</v>
      </c>
      <c r="D161" s="36">
        <f>D162</f>
        <v>254.9</v>
      </c>
      <c r="E161" s="36">
        <f t="shared" ref="E161:F163" si="62">E162</f>
        <v>0</v>
      </c>
      <c r="F161" s="36">
        <f t="shared" si="62"/>
        <v>254.9</v>
      </c>
    </row>
    <row r="162" spans="1:6">
      <c r="A162" s="86">
        <v>1230220040</v>
      </c>
      <c r="B162" s="86"/>
      <c r="C162" s="87" t="s">
        <v>244</v>
      </c>
      <c r="D162" s="36">
        <f>D163</f>
        <v>254.9</v>
      </c>
      <c r="E162" s="36">
        <f t="shared" si="62"/>
        <v>0</v>
      </c>
      <c r="F162" s="36">
        <f t="shared" si="62"/>
        <v>254.9</v>
      </c>
    </row>
    <row r="163" spans="1:6" ht="31.5">
      <c r="A163" s="86">
        <v>1230220040</v>
      </c>
      <c r="B163" s="88" t="s">
        <v>104</v>
      </c>
      <c r="C163" s="87" t="s">
        <v>105</v>
      </c>
      <c r="D163" s="36">
        <f>D164</f>
        <v>254.9</v>
      </c>
      <c r="E163" s="36">
        <f t="shared" si="62"/>
        <v>0</v>
      </c>
      <c r="F163" s="36">
        <f t="shared" si="62"/>
        <v>254.9</v>
      </c>
    </row>
    <row r="164" spans="1:6">
      <c r="A164" s="86">
        <v>1230220040</v>
      </c>
      <c r="B164" s="86">
        <v>610</v>
      </c>
      <c r="C164" s="87" t="s">
        <v>115</v>
      </c>
      <c r="D164" s="36">
        <f>'№ 6'!E651</f>
        <v>254.9</v>
      </c>
      <c r="E164" s="36">
        <f>'№ 6'!F651</f>
        <v>0</v>
      </c>
      <c r="F164" s="36">
        <f>'№ 6'!G651</f>
        <v>254.9</v>
      </c>
    </row>
    <row r="165" spans="1:6">
      <c r="A165" s="86">
        <v>1230500000</v>
      </c>
      <c r="B165" s="86"/>
      <c r="C165" s="66" t="s">
        <v>351</v>
      </c>
      <c r="D165" s="36">
        <f>D166</f>
        <v>0</v>
      </c>
      <c r="E165" s="36">
        <f t="shared" ref="E165:F165" si="63">E166</f>
        <v>2996.1</v>
      </c>
      <c r="F165" s="36">
        <f t="shared" si="63"/>
        <v>0</v>
      </c>
    </row>
    <row r="166" spans="1:6" ht="31.5">
      <c r="A166" s="86" t="s">
        <v>386</v>
      </c>
      <c r="B166" s="86"/>
      <c r="C166" s="66" t="s">
        <v>387</v>
      </c>
      <c r="D166" s="36">
        <f>D167</f>
        <v>0</v>
      </c>
      <c r="E166" s="36">
        <f t="shared" ref="E166:F167" si="64">E167</f>
        <v>2996.1</v>
      </c>
      <c r="F166" s="36">
        <f t="shared" si="64"/>
        <v>0</v>
      </c>
    </row>
    <row r="167" spans="1:6" ht="31.5">
      <c r="A167" s="86" t="s">
        <v>386</v>
      </c>
      <c r="B167" s="88" t="s">
        <v>75</v>
      </c>
      <c r="C167" s="66" t="s">
        <v>103</v>
      </c>
      <c r="D167" s="36">
        <f>D168</f>
        <v>0</v>
      </c>
      <c r="E167" s="36">
        <f t="shared" si="64"/>
        <v>2996.1</v>
      </c>
      <c r="F167" s="36">
        <f t="shared" si="64"/>
        <v>0</v>
      </c>
    </row>
    <row r="168" spans="1:6">
      <c r="A168" s="86" t="s">
        <v>386</v>
      </c>
      <c r="B168" s="88" t="s">
        <v>131</v>
      </c>
      <c r="C168" s="66" t="s">
        <v>132</v>
      </c>
      <c r="D168" s="36">
        <f>'№ 6'!E655</f>
        <v>0</v>
      </c>
      <c r="E168" s="36">
        <f>'№ 6'!F655</f>
        <v>2996.1</v>
      </c>
      <c r="F168" s="36">
        <f>'№ 6'!G655</f>
        <v>0</v>
      </c>
    </row>
    <row r="169" spans="1:6" ht="31.5">
      <c r="A169" s="86">
        <v>1230600000</v>
      </c>
      <c r="B169" s="86"/>
      <c r="C169" s="87" t="s">
        <v>245</v>
      </c>
      <c r="D169" s="36">
        <f>D170+D177+D180</f>
        <v>1366.3999999999999</v>
      </c>
      <c r="E169" s="36">
        <f t="shared" ref="E169:F169" si="65">E170+E177+E180</f>
        <v>0</v>
      </c>
      <c r="F169" s="36">
        <f t="shared" si="65"/>
        <v>0</v>
      </c>
    </row>
    <row r="170" spans="1:6" ht="31.5">
      <c r="A170" s="86">
        <v>1230620300</v>
      </c>
      <c r="B170" s="86"/>
      <c r="C170" s="87" t="s">
        <v>246</v>
      </c>
      <c r="D170" s="36">
        <f>D171+D173+D175</f>
        <v>459.79999999999995</v>
      </c>
      <c r="E170" s="36">
        <f t="shared" ref="E170:F170" si="66">E171+E173+E175</f>
        <v>0</v>
      </c>
      <c r="F170" s="36">
        <f t="shared" si="66"/>
        <v>0</v>
      </c>
    </row>
    <row r="171" spans="1:6" ht="63">
      <c r="A171" s="86">
        <v>1230620300</v>
      </c>
      <c r="B171" s="88" t="s">
        <v>71</v>
      </c>
      <c r="C171" s="87" t="s">
        <v>1</v>
      </c>
      <c r="D171" s="36">
        <f>D172</f>
        <v>238.4</v>
      </c>
      <c r="E171" s="36">
        <f t="shared" ref="E171:F171" si="67">E172</f>
        <v>0</v>
      </c>
      <c r="F171" s="36">
        <f t="shared" si="67"/>
        <v>0</v>
      </c>
    </row>
    <row r="172" spans="1:6" ht="31.5">
      <c r="A172" s="86">
        <v>1230620300</v>
      </c>
      <c r="B172" s="86">
        <v>120</v>
      </c>
      <c r="C172" s="87" t="s">
        <v>319</v>
      </c>
      <c r="D172" s="36">
        <f>'№ 6'!E659</f>
        <v>238.4</v>
      </c>
      <c r="E172" s="36">
        <f>'№ 6'!F659</f>
        <v>0</v>
      </c>
      <c r="F172" s="36">
        <f>'№ 6'!G659</f>
        <v>0</v>
      </c>
    </row>
    <row r="173" spans="1:6" ht="31.5">
      <c r="A173" s="86">
        <v>1230620300</v>
      </c>
      <c r="B173" s="88" t="s">
        <v>72</v>
      </c>
      <c r="C173" s="87" t="s">
        <v>102</v>
      </c>
      <c r="D173" s="36">
        <f>D174</f>
        <v>122.5</v>
      </c>
      <c r="E173" s="36">
        <f t="shared" ref="E173:F173" si="68">E174</f>
        <v>0</v>
      </c>
      <c r="F173" s="36">
        <f t="shared" si="68"/>
        <v>0</v>
      </c>
    </row>
    <row r="174" spans="1:6" ht="31.5">
      <c r="A174" s="86">
        <v>1230620300</v>
      </c>
      <c r="B174" s="86">
        <v>240</v>
      </c>
      <c r="C174" s="87" t="s">
        <v>315</v>
      </c>
      <c r="D174" s="36">
        <f>'№ 6'!E661</f>
        <v>122.5</v>
      </c>
      <c r="E174" s="36">
        <f>'№ 6'!F661</f>
        <v>0</v>
      </c>
      <c r="F174" s="36">
        <f>'№ 6'!G661</f>
        <v>0</v>
      </c>
    </row>
    <row r="175" spans="1:6">
      <c r="A175" s="86">
        <v>1230620300</v>
      </c>
      <c r="B175" s="86" t="s">
        <v>73</v>
      </c>
      <c r="C175" s="87" t="s">
        <v>74</v>
      </c>
      <c r="D175" s="36">
        <f>D176</f>
        <v>98.9</v>
      </c>
      <c r="E175" s="36">
        <f t="shared" ref="E175:F175" si="69">E176</f>
        <v>0</v>
      </c>
      <c r="F175" s="36">
        <f t="shared" si="69"/>
        <v>0</v>
      </c>
    </row>
    <row r="176" spans="1:6">
      <c r="A176" s="86">
        <v>1230620300</v>
      </c>
      <c r="B176" s="86">
        <v>850</v>
      </c>
      <c r="C176" s="87" t="s">
        <v>111</v>
      </c>
      <c r="D176" s="36">
        <f>'№ 6'!E663</f>
        <v>98.9</v>
      </c>
      <c r="E176" s="36">
        <f>'№ 6'!F663</f>
        <v>0</v>
      </c>
      <c r="F176" s="36">
        <f>'№ 6'!G663</f>
        <v>0</v>
      </c>
    </row>
    <row r="177" spans="1:6" ht="31.5">
      <c r="A177" s="86">
        <v>1230620310</v>
      </c>
      <c r="B177" s="86"/>
      <c r="C177" s="87" t="s">
        <v>247</v>
      </c>
      <c r="D177" s="36">
        <f>D178</f>
        <v>43.4</v>
      </c>
      <c r="E177" s="36">
        <f t="shared" ref="E177:F178" si="70">E178</f>
        <v>0</v>
      </c>
      <c r="F177" s="36">
        <f t="shared" si="70"/>
        <v>0</v>
      </c>
    </row>
    <row r="178" spans="1:6" ht="31.5">
      <c r="A178" s="86">
        <v>1230620310</v>
      </c>
      <c r="B178" s="88" t="s">
        <v>72</v>
      </c>
      <c r="C178" s="87" t="s">
        <v>102</v>
      </c>
      <c r="D178" s="36">
        <f>D179</f>
        <v>43.4</v>
      </c>
      <c r="E178" s="36">
        <f t="shared" si="70"/>
        <v>0</v>
      </c>
      <c r="F178" s="36">
        <f t="shared" si="70"/>
        <v>0</v>
      </c>
    </row>
    <row r="179" spans="1:6" ht="31.5">
      <c r="A179" s="86">
        <v>1230620310</v>
      </c>
      <c r="B179" s="86">
        <v>240</v>
      </c>
      <c r="C179" s="87" t="s">
        <v>315</v>
      </c>
      <c r="D179" s="36">
        <f>'№ 6'!E666</f>
        <v>43.4</v>
      </c>
      <c r="E179" s="36">
        <f>'№ 6'!F666</f>
        <v>0</v>
      </c>
      <c r="F179" s="36">
        <f>'№ 6'!G666</f>
        <v>0</v>
      </c>
    </row>
    <row r="180" spans="1:6">
      <c r="A180" s="86">
        <v>1230620320</v>
      </c>
      <c r="B180" s="86"/>
      <c r="C180" s="87" t="s">
        <v>163</v>
      </c>
      <c r="D180" s="36">
        <f>D181+D183+D185</f>
        <v>863.19999999999993</v>
      </c>
      <c r="E180" s="36">
        <f t="shared" ref="E180:F180" si="71">E181+E183+E185</f>
        <v>0</v>
      </c>
      <c r="F180" s="36">
        <f t="shared" si="71"/>
        <v>0</v>
      </c>
    </row>
    <row r="181" spans="1:6" ht="63">
      <c r="A181" s="86">
        <v>1230620320</v>
      </c>
      <c r="B181" s="88" t="s">
        <v>71</v>
      </c>
      <c r="C181" s="87" t="s">
        <v>1</v>
      </c>
      <c r="D181" s="36">
        <f>D182</f>
        <v>493.4</v>
      </c>
      <c r="E181" s="36">
        <f t="shared" ref="E181:F181" si="72">E182</f>
        <v>0</v>
      </c>
      <c r="F181" s="36">
        <f t="shared" si="72"/>
        <v>0</v>
      </c>
    </row>
    <row r="182" spans="1:6" ht="31.5">
      <c r="A182" s="86">
        <v>1230620320</v>
      </c>
      <c r="B182" s="86">
        <v>120</v>
      </c>
      <c r="C182" s="87" t="s">
        <v>319</v>
      </c>
      <c r="D182" s="36">
        <f>'№ 6'!E669</f>
        <v>493.4</v>
      </c>
      <c r="E182" s="36">
        <f>'№ 6'!F669</f>
        <v>0</v>
      </c>
      <c r="F182" s="36">
        <f>'№ 6'!G669</f>
        <v>0</v>
      </c>
    </row>
    <row r="183" spans="1:6" ht="31.5">
      <c r="A183" s="86">
        <v>1230620320</v>
      </c>
      <c r="B183" s="88" t="s">
        <v>72</v>
      </c>
      <c r="C183" s="87" t="s">
        <v>102</v>
      </c>
      <c r="D183" s="36">
        <f>D184</f>
        <v>201.79999999999998</v>
      </c>
      <c r="E183" s="36">
        <f t="shared" ref="E183:F183" si="73">E184</f>
        <v>0</v>
      </c>
      <c r="F183" s="36">
        <f t="shared" si="73"/>
        <v>0</v>
      </c>
    </row>
    <row r="184" spans="1:6" ht="31.5">
      <c r="A184" s="86">
        <v>1230620320</v>
      </c>
      <c r="B184" s="86">
        <v>240</v>
      </c>
      <c r="C184" s="87" t="s">
        <v>315</v>
      </c>
      <c r="D184" s="36">
        <f>'№ 6'!E671</f>
        <v>201.79999999999998</v>
      </c>
      <c r="E184" s="36">
        <f>'№ 6'!F671</f>
        <v>0</v>
      </c>
      <c r="F184" s="36">
        <f>'№ 6'!G671</f>
        <v>0</v>
      </c>
    </row>
    <row r="185" spans="1:6" ht="31.5">
      <c r="A185" s="86">
        <v>1230620320</v>
      </c>
      <c r="B185" s="88" t="s">
        <v>104</v>
      </c>
      <c r="C185" s="87" t="s">
        <v>105</v>
      </c>
      <c r="D185" s="36">
        <f>D186</f>
        <v>168</v>
      </c>
      <c r="E185" s="36">
        <f t="shared" ref="E185:F185" si="74">E186</f>
        <v>0</v>
      </c>
      <c r="F185" s="36">
        <f t="shared" si="74"/>
        <v>0</v>
      </c>
    </row>
    <row r="186" spans="1:6">
      <c r="A186" s="86">
        <v>1230620320</v>
      </c>
      <c r="B186" s="86">
        <v>610</v>
      </c>
      <c r="C186" s="87" t="s">
        <v>115</v>
      </c>
      <c r="D186" s="36">
        <f>'№ 6'!E673</f>
        <v>168</v>
      </c>
      <c r="E186" s="36">
        <f>'№ 6'!F673</f>
        <v>0</v>
      </c>
      <c r="F186" s="36">
        <f>'№ 6'!G673</f>
        <v>0</v>
      </c>
    </row>
    <row r="187" spans="1:6" ht="31.5">
      <c r="A187" s="88">
        <v>1240000000</v>
      </c>
      <c r="B187" s="86"/>
      <c r="C187" s="87" t="s">
        <v>150</v>
      </c>
      <c r="D187" s="36">
        <f>D188+D192+D219+D206+D231+D239</f>
        <v>13229.500000000002</v>
      </c>
      <c r="E187" s="36">
        <f>E188+E192+E219+E206+E231+E239</f>
        <v>6642.6</v>
      </c>
      <c r="F187" s="36">
        <f>F188+F192+F219+F206+F231+F239</f>
        <v>4534.0999999999995</v>
      </c>
    </row>
    <row r="188" spans="1:6" ht="31.5">
      <c r="A188" s="88">
        <v>1240100000</v>
      </c>
      <c r="B188" s="86"/>
      <c r="C188" s="87" t="s">
        <v>238</v>
      </c>
      <c r="D188" s="36">
        <f>D189</f>
        <v>508</v>
      </c>
      <c r="E188" s="36">
        <f t="shared" ref="E188:F190" si="75">E189</f>
        <v>0</v>
      </c>
      <c r="F188" s="36">
        <f t="shared" si="75"/>
        <v>0</v>
      </c>
    </row>
    <row r="189" spans="1:6" ht="31.5">
      <c r="A189" s="88">
        <v>1240120330</v>
      </c>
      <c r="B189" s="86"/>
      <c r="C189" s="87" t="s">
        <v>167</v>
      </c>
      <c r="D189" s="36">
        <f>D190</f>
        <v>508</v>
      </c>
      <c r="E189" s="36">
        <f t="shared" si="75"/>
        <v>0</v>
      </c>
      <c r="F189" s="36">
        <f t="shared" si="75"/>
        <v>0</v>
      </c>
    </row>
    <row r="190" spans="1:6" ht="31.5">
      <c r="A190" s="88">
        <v>1240120330</v>
      </c>
      <c r="B190" s="88" t="s">
        <v>104</v>
      </c>
      <c r="C190" s="87" t="s">
        <v>105</v>
      </c>
      <c r="D190" s="36">
        <f>D191</f>
        <v>508</v>
      </c>
      <c r="E190" s="36">
        <f t="shared" si="75"/>
        <v>0</v>
      </c>
      <c r="F190" s="36">
        <f t="shared" si="75"/>
        <v>0</v>
      </c>
    </row>
    <row r="191" spans="1:6" ht="31.5">
      <c r="A191" s="88">
        <v>1240120330</v>
      </c>
      <c r="B191" s="86">
        <v>630</v>
      </c>
      <c r="C191" s="87" t="s">
        <v>168</v>
      </c>
      <c r="D191" s="36">
        <f>'№ 6'!E608</f>
        <v>508</v>
      </c>
      <c r="E191" s="36">
        <f>'№ 6'!F608</f>
        <v>0</v>
      </c>
      <c r="F191" s="36">
        <f>'№ 6'!G608</f>
        <v>0</v>
      </c>
    </row>
    <row r="192" spans="1:6" ht="31.5">
      <c r="A192" s="88">
        <v>1240200000</v>
      </c>
      <c r="B192" s="86"/>
      <c r="C192" s="87" t="s">
        <v>169</v>
      </c>
      <c r="D192" s="36">
        <f>D198+D193+D203</f>
        <v>187.29999999999998</v>
      </c>
      <c r="E192" s="36">
        <f t="shared" ref="E192:F192" si="76">E198+E193+E203</f>
        <v>191.1</v>
      </c>
      <c r="F192" s="36">
        <f t="shared" si="76"/>
        <v>107.1</v>
      </c>
    </row>
    <row r="193" spans="1:6">
      <c r="A193" s="86">
        <v>1240220340</v>
      </c>
      <c r="B193" s="86"/>
      <c r="C193" s="59" t="s">
        <v>180</v>
      </c>
      <c r="D193" s="36">
        <f>D194+D196</f>
        <v>108.7</v>
      </c>
      <c r="E193" s="36">
        <f t="shared" ref="E193:F193" si="77">E194+E196</f>
        <v>77.400000000000006</v>
      </c>
      <c r="F193" s="36">
        <f t="shared" si="77"/>
        <v>0</v>
      </c>
    </row>
    <row r="194" spans="1:6" ht="31.5">
      <c r="A194" s="86">
        <v>1240220340</v>
      </c>
      <c r="B194" s="88" t="s">
        <v>72</v>
      </c>
      <c r="C194" s="87" t="s">
        <v>102</v>
      </c>
      <c r="D194" s="36">
        <f>D195</f>
        <v>78.7</v>
      </c>
      <c r="E194" s="36">
        <f t="shared" ref="E194:F194" si="78">E195</f>
        <v>47.4</v>
      </c>
      <c r="F194" s="36">
        <f t="shared" si="78"/>
        <v>0</v>
      </c>
    </row>
    <row r="195" spans="1:6" ht="31.5">
      <c r="A195" s="86">
        <v>1240220340</v>
      </c>
      <c r="B195" s="86">
        <v>240</v>
      </c>
      <c r="C195" s="59" t="s">
        <v>315</v>
      </c>
      <c r="D195" s="36">
        <f>'№ 6'!E86</f>
        <v>78.7</v>
      </c>
      <c r="E195" s="36">
        <f>'№ 6'!F86</f>
        <v>47.4</v>
      </c>
      <c r="F195" s="36">
        <f>'№ 6'!G86</f>
        <v>0</v>
      </c>
    </row>
    <row r="196" spans="1:6">
      <c r="A196" s="86">
        <v>1240220340</v>
      </c>
      <c r="B196" s="88" t="s">
        <v>76</v>
      </c>
      <c r="C196" s="87" t="s">
        <v>77</v>
      </c>
      <c r="D196" s="36">
        <f>D197</f>
        <v>30</v>
      </c>
      <c r="E196" s="36">
        <f t="shared" ref="E196:F196" si="79">E197</f>
        <v>30</v>
      </c>
      <c r="F196" s="36">
        <f t="shared" si="79"/>
        <v>0</v>
      </c>
    </row>
    <row r="197" spans="1:6">
      <c r="A197" s="86">
        <v>1240220340</v>
      </c>
      <c r="B197" s="86">
        <v>350</v>
      </c>
      <c r="C197" s="57" t="s">
        <v>181</v>
      </c>
      <c r="D197" s="36">
        <f>'№ 6'!E88</f>
        <v>30</v>
      </c>
      <c r="E197" s="36">
        <f>'№ 6'!F88</f>
        <v>30</v>
      </c>
      <c r="F197" s="36">
        <f>'№ 6'!G88</f>
        <v>0</v>
      </c>
    </row>
    <row r="198" spans="1:6" ht="31.5">
      <c r="A198" s="88">
        <v>1240220350</v>
      </c>
      <c r="B198" s="86"/>
      <c r="C198" s="87" t="s">
        <v>239</v>
      </c>
      <c r="D198" s="36">
        <f>D199+D201</f>
        <v>72</v>
      </c>
      <c r="E198" s="36">
        <f t="shared" ref="E198:F198" si="80">E199+E201</f>
        <v>107.1</v>
      </c>
      <c r="F198" s="36">
        <f t="shared" si="80"/>
        <v>107.1</v>
      </c>
    </row>
    <row r="199" spans="1:6" ht="31.5">
      <c r="A199" s="88">
        <v>1240220350</v>
      </c>
      <c r="B199" s="88" t="s">
        <v>72</v>
      </c>
      <c r="C199" s="87" t="s">
        <v>102</v>
      </c>
      <c r="D199" s="36">
        <f>D200</f>
        <v>0</v>
      </c>
      <c r="E199" s="36">
        <f t="shared" ref="E199:F199" si="81">E200</f>
        <v>3.1</v>
      </c>
      <c r="F199" s="36">
        <f t="shared" si="81"/>
        <v>3.1</v>
      </c>
    </row>
    <row r="200" spans="1:6" ht="31.5">
      <c r="A200" s="88">
        <v>1240220350</v>
      </c>
      <c r="B200" s="86">
        <v>240</v>
      </c>
      <c r="C200" s="87" t="s">
        <v>315</v>
      </c>
      <c r="D200" s="36">
        <f>'№ 6'!E612</f>
        <v>0</v>
      </c>
      <c r="E200" s="36">
        <f>'№ 6'!F612</f>
        <v>3.1</v>
      </c>
      <c r="F200" s="36">
        <f>'№ 6'!G612</f>
        <v>3.1</v>
      </c>
    </row>
    <row r="201" spans="1:6">
      <c r="A201" s="88">
        <v>1240220350</v>
      </c>
      <c r="B201" s="86" t="s">
        <v>76</v>
      </c>
      <c r="C201" s="87" t="s">
        <v>77</v>
      </c>
      <c r="D201" s="36">
        <f>D202</f>
        <v>72</v>
      </c>
      <c r="E201" s="36">
        <f t="shared" ref="E201:F201" si="82">E202</f>
        <v>104</v>
      </c>
      <c r="F201" s="36">
        <f t="shared" si="82"/>
        <v>104</v>
      </c>
    </row>
    <row r="202" spans="1:6">
      <c r="A202" s="88">
        <v>1240220350</v>
      </c>
      <c r="B202" s="86" t="s">
        <v>164</v>
      </c>
      <c r="C202" s="87" t="s">
        <v>165</v>
      </c>
      <c r="D202" s="36">
        <f>'№ 6'!E614</f>
        <v>72</v>
      </c>
      <c r="E202" s="36">
        <f>'№ 6'!F614</f>
        <v>104</v>
      </c>
      <c r="F202" s="36">
        <f>'№ 6'!G614</f>
        <v>104</v>
      </c>
    </row>
    <row r="203" spans="1:6" ht="31.5">
      <c r="A203" s="86">
        <v>1240220360</v>
      </c>
      <c r="B203" s="86"/>
      <c r="C203" s="57" t="s">
        <v>324</v>
      </c>
      <c r="D203" s="36">
        <f>D204</f>
        <v>6.6</v>
      </c>
      <c r="E203" s="36">
        <f t="shared" ref="E203:F204" si="83">E204</f>
        <v>6.6</v>
      </c>
      <c r="F203" s="36">
        <f t="shared" si="83"/>
        <v>0</v>
      </c>
    </row>
    <row r="204" spans="1:6">
      <c r="A204" s="86">
        <v>1240220360</v>
      </c>
      <c r="B204" s="88" t="s">
        <v>76</v>
      </c>
      <c r="C204" s="87" t="s">
        <v>77</v>
      </c>
      <c r="D204" s="36">
        <f>D205</f>
        <v>6.6</v>
      </c>
      <c r="E204" s="36">
        <f t="shared" si="83"/>
        <v>6.6</v>
      </c>
      <c r="F204" s="36">
        <f t="shared" si="83"/>
        <v>0</v>
      </c>
    </row>
    <row r="205" spans="1:6">
      <c r="A205" s="86">
        <v>1240220360</v>
      </c>
      <c r="B205" s="86">
        <v>350</v>
      </c>
      <c r="C205" s="57" t="s">
        <v>181</v>
      </c>
      <c r="D205" s="36">
        <f>'№ 6'!E91</f>
        <v>6.6</v>
      </c>
      <c r="E205" s="36">
        <f>'№ 6'!F91</f>
        <v>6.6</v>
      </c>
      <c r="F205" s="36">
        <f>'№ 6'!G91</f>
        <v>0</v>
      </c>
    </row>
    <row r="206" spans="1:6">
      <c r="A206" s="86">
        <v>1240300000</v>
      </c>
      <c r="B206" s="86"/>
      <c r="C206" s="87" t="s">
        <v>240</v>
      </c>
      <c r="D206" s="36">
        <f>D210+D213+D216+D207</f>
        <v>2117.2000000000003</v>
      </c>
      <c r="E206" s="36">
        <f t="shared" ref="E206:F206" si="84">E210+E213+E216+E207</f>
        <v>1822.4</v>
      </c>
      <c r="F206" s="36">
        <f t="shared" si="84"/>
        <v>2068.6</v>
      </c>
    </row>
    <row r="207" spans="1:6" ht="47.25">
      <c r="A207" s="86">
        <v>1240310320</v>
      </c>
      <c r="B207" s="86"/>
      <c r="C207" s="66" t="s">
        <v>407</v>
      </c>
      <c r="D207" s="36">
        <f>D208</f>
        <v>459.3</v>
      </c>
      <c r="E207" s="36">
        <f t="shared" ref="E207:F208" si="85">E208</f>
        <v>0</v>
      </c>
      <c r="F207" s="36">
        <f t="shared" si="85"/>
        <v>0</v>
      </c>
    </row>
    <row r="208" spans="1:6">
      <c r="A208" s="86">
        <v>1240310320</v>
      </c>
      <c r="B208" s="86" t="s">
        <v>73</v>
      </c>
      <c r="C208" s="66" t="s">
        <v>74</v>
      </c>
      <c r="D208" s="36">
        <f>D209</f>
        <v>459.3</v>
      </c>
      <c r="E208" s="36">
        <f t="shared" si="85"/>
        <v>0</v>
      </c>
      <c r="F208" s="36">
        <f t="shared" si="85"/>
        <v>0</v>
      </c>
    </row>
    <row r="209" spans="1:6" ht="47.25">
      <c r="A209" s="86">
        <v>1240310320</v>
      </c>
      <c r="B209" s="86" t="s">
        <v>174</v>
      </c>
      <c r="C209" s="66" t="s">
        <v>175</v>
      </c>
      <c r="D209" s="36">
        <f>'№ 6'!E681</f>
        <v>459.3</v>
      </c>
      <c r="E209" s="36">
        <f>'№ 6'!F681</f>
        <v>0</v>
      </c>
      <c r="F209" s="36">
        <f>'№ 6'!G681</f>
        <v>0</v>
      </c>
    </row>
    <row r="210" spans="1:6" ht="31.5">
      <c r="A210" s="86">
        <v>1240320360</v>
      </c>
      <c r="B210" s="86"/>
      <c r="C210" s="87" t="s">
        <v>170</v>
      </c>
      <c r="D210" s="36">
        <f>D211</f>
        <v>531.79999999999995</v>
      </c>
      <c r="E210" s="36">
        <f t="shared" ref="E210:F211" si="86">E211</f>
        <v>696.30000000000007</v>
      </c>
      <c r="F210" s="36">
        <f t="shared" si="86"/>
        <v>942.5</v>
      </c>
    </row>
    <row r="211" spans="1:6">
      <c r="A211" s="86">
        <v>1240320360</v>
      </c>
      <c r="B211" s="86" t="s">
        <v>73</v>
      </c>
      <c r="C211" s="87" t="s">
        <v>74</v>
      </c>
      <c r="D211" s="36">
        <f>D212</f>
        <v>531.79999999999995</v>
      </c>
      <c r="E211" s="36">
        <f t="shared" si="86"/>
        <v>696.30000000000007</v>
      </c>
      <c r="F211" s="36">
        <f t="shared" si="86"/>
        <v>942.5</v>
      </c>
    </row>
    <row r="212" spans="1:6" ht="47.25">
      <c r="A212" s="86">
        <v>1240320360</v>
      </c>
      <c r="B212" s="86" t="s">
        <v>174</v>
      </c>
      <c r="C212" s="87" t="s">
        <v>175</v>
      </c>
      <c r="D212" s="36">
        <f>'№ 6'!E684</f>
        <v>531.79999999999995</v>
      </c>
      <c r="E212" s="36">
        <f>'№ 6'!F684</f>
        <v>696.30000000000007</v>
      </c>
      <c r="F212" s="36">
        <f>'№ 6'!G684</f>
        <v>942.5</v>
      </c>
    </row>
    <row r="213" spans="1:6" ht="47.25">
      <c r="A213" s="86">
        <v>1240320370</v>
      </c>
      <c r="B213" s="86"/>
      <c r="C213" s="87" t="s">
        <v>171</v>
      </c>
      <c r="D213" s="36">
        <f>D214</f>
        <v>489.6</v>
      </c>
      <c r="E213" s="36">
        <f t="shared" ref="E213:F214" si="87">E214</f>
        <v>489.6</v>
      </c>
      <c r="F213" s="36">
        <f t="shared" si="87"/>
        <v>489.6</v>
      </c>
    </row>
    <row r="214" spans="1:6">
      <c r="A214" s="86">
        <v>1240320370</v>
      </c>
      <c r="B214" s="86" t="s">
        <v>73</v>
      </c>
      <c r="C214" s="87" t="s">
        <v>74</v>
      </c>
      <c r="D214" s="36">
        <f>D215</f>
        <v>489.6</v>
      </c>
      <c r="E214" s="36">
        <f t="shared" si="87"/>
        <v>489.6</v>
      </c>
      <c r="F214" s="36">
        <f t="shared" si="87"/>
        <v>489.6</v>
      </c>
    </row>
    <row r="215" spans="1:6" ht="47.25">
      <c r="A215" s="86">
        <v>1240320370</v>
      </c>
      <c r="B215" s="86" t="s">
        <v>174</v>
      </c>
      <c r="C215" s="87" t="s">
        <v>175</v>
      </c>
      <c r="D215" s="36">
        <f>'№ 6'!E687</f>
        <v>489.6</v>
      </c>
      <c r="E215" s="36">
        <f>'№ 6'!F687</f>
        <v>489.6</v>
      </c>
      <c r="F215" s="36">
        <f>'№ 6'!G687</f>
        <v>489.6</v>
      </c>
    </row>
    <row r="216" spans="1:6" ht="47.25">
      <c r="A216" s="86" t="s">
        <v>173</v>
      </c>
      <c r="B216" s="86"/>
      <c r="C216" s="87" t="s">
        <v>172</v>
      </c>
      <c r="D216" s="36">
        <f>D217</f>
        <v>636.5</v>
      </c>
      <c r="E216" s="36">
        <f t="shared" ref="E216:F217" si="88">E217</f>
        <v>636.5</v>
      </c>
      <c r="F216" s="36">
        <f t="shared" si="88"/>
        <v>636.5</v>
      </c>
    </row>
    <row r="217" spans="1:6">
      <c r="A217" s="86" t="s">
        <v>173</v>
      </c>
      <c r="B217" s="86" t="s">
        <v>73</v>
      </c>
      <c r="C217" s="87" t="s">
        <v>74</v>
      </c>
      <c r="D217" s="36">
        <f>D218</f>
        <v>636.5</v>
      </c>
      <c r="E217" s="36">
        <f t="shared" si="88"/>
        <v>636.5</v>
      </c>
      <c r="F217" s="36">
        <f t="shared" si="88"/>
        <v>636.5</v>
      </c>
    </row>
    <row r="218" spans="1:6" ht="47.25">
      <c r="A218" s="86" t="s">
        <v>173</v>
      </c>
      <c r="B218" s="86" t="s">
        <v>174</v>
      </c>
      <c r="C218" s="87" t="s">
        <v>175</v>
      </c>
      <c r="D218" s="36">
        <f>'№ 6'!E690</f>
        <v>636.5</v>
      </c>
      <c r="E218" s="36">
        <f>'№ 6'!F690</f>
        <v>636.5</v>
      </c>
      <c r="F218" s="36">
        <f>'№ 6'!G690</f>
        <v>636.5</v>
      </c>
    </row>
    <row r="219" spans="1:6">
      <c r="A219" s="86">
        <v>1240400000</v>
      </c>
      <c r="B219" s="86"/>
      <c r="C219" s="87" t="s">
        <v>237</v>
      </c>
      <c r="D219" s="36">
        <f>D220+D228+D223</f>
        <v>9600.2000000000007</v>
      </c>
      <c r="E219" s="36">
        <f t="shared" ref="E219:F219" si="89">E220+E228+E223</f>
        <v>3780.8</v>
      </c>
      <c r="F219" s="36">
        <f t="shared" si="89"/>
        <v>1798.8999999999999</v>
      </c>
    </row>
    <row r="220" spans="1:6" ht="31.5">
      <c r="A220" s="86">
        <v>1240420380</v>
      </c>
      <c r="B220" s="86"/>
      <c r="C220" s="87" t="s">
        <v>166</v>
      </c>
      <c r="D220" s="36">
        <f>D221</f>
        <v>159</v>
      </c>
      <c r="E220" s="36">
        <f t="shared" ref="E220:F220" si="90">E221</f>
        <v>159</v>
      </c>
      <c r="F220" s="36">
        <f t="shared" si="90"/>
        <v>159</v>
      </c>
    </row>
    <row r="221" spans="1:6">
      <c r="A221" s="86">
        <v>1240420380</v>
      </c>
      <c r="B221" s="88" t="s">
        <v>76</v>
      </c>
      <c r="C221" s="87" t="s">
        <v>77</v>
      </c>
      <c r="D221" s="36">
        <f>D222</f>
        <v>159</v>
      </c>
      <c r="E221" s="36">
        <f t="shared" ref="E221:F221" si="91">E222</f>
        <v>159</v>
      </c>
      <c r="F221" s="36">
        <f t="shared" si="91"/>
        <v>159</v>
      </c>
    </row>
    <row r="222" spans="1:6" ht="31.5">
      <c r="A222" s="86">
        <v>1240420380</v>
      </c>
      <c r="B222" s="88" t="s">
        <v>112</v>
      </c>
      <c r="C222" s="87" t="s">
        <v>113</v>
      </c>
      <c r="D222" s="36">
        <f>'№ 6'!E618</f>
        <v>159</v>
      </c>
      <c r="E222" s="36">
        <f>'№ 6'!F618</f>
        <v>159</v>
      </c>
      <c r="F222" s="36">
        <f>'№ 6'!G618</f>
        <v>159</v>
      </c>
    </row>
    <row r="223" spans="1:6" ht="47.25">
      <c r="A223" s="86">
        <v>1240420390</v>
      </c>
      <c r="B223" s="86"/>
      <c r="C223" s="59" t="s">
        <v>70</v>
      </c>
      <c r="D223" s="36">
        <f>D224+D226</f>
        <v>1114.1999999999998</v>
      </c>
      <c r="E223" s="36">
        <f t="shared" ref="E223:F223" si="92">E224+E226</f>
        <v>1639.8999999999999</v>
      </c>
      <c r="F223" s="36">
        <f t="shared" si="92"/>
        <v>1639.8999999999999</v>
      </c>
    </row>
    <row r="224" spans="1:6" ht="31.5">
      <c r="A224" s="86">
        <v>1240420390</v>
      </c>
      <c r="B224" s="88" t="s">
        <v>72</v>
      </c>
      <c r="C224" s="87" t="s">
        <v>102</v>
      </c>
      <c r="D224" s="36">
        <f>D225</f>
        <v>0</v>
      </c>
      <c r="E224" s="36">
        <f t="shared" ref="E224:F224" si="93">E225</f>
        <v>47.8</v>
      </c>
      <c r="F224" s="36">
        <f t="shared" si="93"/>
        <v>47.8</v>
      </c>
    </row>
    <row r="225" spans="1:6" ht="31.5">
      <c r="A225" s="86">
        <v>1240420390</v>
      </c>
      <c r="B225" s="86">
        <v>240</v>
      </c>
      <c r="C225" s="87" t="s">
        <v>315</v>
      </c>
      <c r="D225" s="36">
        <f>'№ 6'!E599</f>
        <v>0</v>
      </c>
      <c r="E225" s="36">
        <f>'№ 6'!F599</f>
        <v>47.8</v>
      </c>
      <c r="F225" s="36">
        <f>'№ 6'!G599</f>
        <v>47.8</v>
      </c>
    </row>
    <row r="226" spans="1:6">
      <c r="A226" s="86">
        <v>1240420390</v>
      </c>
      <c r="B226" s="88" t="s">
        <v>76</v>
      </c>
      <c r="C226" s="87" t="s">
        <v>77</v>
      </c>
      <c r="D226" s="36">
        <f>D227</f>
        <v>1114.1999999999998</v>
      </c>
      <c r="E226" s="36">
        <f t="shared" ref="E226:F226" si="94">E227</f>
        <v>1592.1</v>
      </c>
      <c r="F226" s="36">
        <f t="shared" si="94"/>
        <v>1592.1</v>
      </c>
    </row>
    <row r="227" spans="1:6">
      <c r="A227" s="86">
        <v>1240420390</v>
      </c>
      <c r="B227" s="88" t="s">
        <v>164</v>
      </c>
      <c r="C227" s="87" t="s">
        <v>165</v>
      </c>
      <c r="D227" s="36">
        <f>'№ 6'!E601</f>
        <v>1114.1999999999998</v>
      </c>
      <c r="E227" s="36">
        <f>'№ 6'!F601</f>
        <v>1592.1</v>
      </c>
      <c r="F227" s="36">
        <f>'№ 6'!G601</f>
        <v>1592.1</v>
      </c>
    </row>
    <row r="228" spans="1:6">
      <c r="A228" s="86" t="s">
        <v>284</v>
      </c>
      <c r="B228" s="86"/>
      <c r="C228" s="87" t="s">
        <v>283</v>
      </c>
      <c r="D228" s="36">
        <f>D229</f>
        <v>8327</v>
      </c>
      <c r="E228" s="36">
        <f t="shared" ref="E228:F228" si="95">E229</f>
        <v>1981.9</v>
      </c>
      <c r="F228" s="36">
        <f t="shared" si="95"/>
        <v>0</v>
      </c>
    </row>
    <row r="229" spans="1:6">
      <c r="A229" s="86" t="s">
        <v>284</v>
      </c>
      <c r="B229" s="1" t="s">
        <v>76</v>
      </c>
      <c r="C229" s="57" t="s">
        <v>77</v>
      </c>
      <c r="D229" s="36">
        <f>D230</f>
        <v>8327</v>
      </c>
      <c r="E229" s="36">
        <f t="shared" ref="E229:F229" si="96">E230</f>
        <v>1981.9</v>
      </c>
      <c r="F229" s="36">
        <f t="shared" si="96"/>
        <v>0</v>
      </c>
    </row>
    <row r="230" spans="1:6" ht="31.5">
      <c r="A230" s="86" t="s">
        <v>284</v>
      </c>
      <c r="B230" s="1" t="s">
        <v>112</v>
      </c>
      <c r="C230" s="57" t="s">
        <v>113</v>
      </c>
      <c r="D230" s="36">
        <f>'№ 6'!E621</f>
        <v>8327</v>
      </c>
      <c r="E230" s="36">
        <f>'№ 6'!F621</f>
        <v>1981.9</v>
      </c>
      <c r="F230" s="36">
        <f>'№ 6'!G621</f>
        <v>0</v>
      </c>
    </row>
    <row r="231" spans="1:6">
      <c r="A231" s="86">
        <v>1240500000</v>
      </c>
      <c r="B231" s="86"/>
      <c r="C231" s="87" t="s">
        <v>151</v>
      </c>
      <c r="D231" s="36">
        <f>D232+D236</f>
        <v>692.19999999999993</v>
      </c>
      <c r="E231" s="36">
        <f t="shared" ref="E231:F231" si="97">E232+E236</f>
        <v>723.5</v>
      </c>
      <c r="F231" s="36">
        <f t="shared" si="97"/>
        <v>523.5</v>
      </c>
    </row>
    <row r="232" spans="1:6" ht="31.5">
      <c r="A232" s="86">
        <v>1240520410</v>
      </c>
      <c r="B232" s="86"/>
      <c r="C232" s="87" t="s">
        <v>256</v>
      </c>
      <c r="D232" s="36">
        <f>D233</f>
        <v>208.1</v>
      </c>
      <c r="E232" s="36">
        <f t="shared" ref="E232:F232" si="98">E233</f>
        <v>208.1</v>
      </c>
      <c r="F232" s="36">
        <f t="shared" si="98"/>
        <v>208.1</v>
      </c>
    </row>
    <row r="233" spans="1:6">
      <c r="A233" s="86">
        <v>1240520410</v>
      </c>
      <c r="B233" s="86" t="s">
        <v>73</v>
      </c>
      <c r="C233" s="87" t="s">
        <v>74</v>
      </c>
      <c r="D233" s="36">
        <f>D234+D235</f>
        <v>208.1</v>
      </c>
      <c r="E233" s="36">
        <f t="shared" ref="E233:F233" si="99">E234+E235</f>
        <v>208.1</v>
      </c>
      <c r="F233" s="36">
        <f t="shared" si="99"/>
        <v>208.1</v>
      </c>
    </row>
    <row r="234" spans="1:6">
      <c r="A234" s="86">
        <v>1240520410</v>
      </c>
      <c r="B234" s="86">
        <v>850</v>
      </c>
      <c r="C234" s="87" t="s">
        <v>111</v>
      </c>
      <c r="D234" s="36">
        <f>'№ 6'!E95</f>
        <v>119.5</v>
      </c>
      <c r="E234" s="36">
        <f>'№ 6'!F95</f>
        <v>119.5</v>
      </c>
      <c r="F234" s="36">
        <f>'№ 6'!G95</f>
        <v>119.5</v>
      </c>
    </row>
    <row r="235" spans="1:6" ht="31.5">
      <c r="A235" s="86">
        <v>1240520410</v>
      </c>
      <c r="B235" s="86">
        <v>860</v>
      </c>
      <c r="C235" s="87" t="s">
        <v>321</v>
      </c>
      <c r="D235" s="36">
        <f>'№ 6'!E73</f>
        <v>88.6</v>
      </c>
      <c r="E235" s="36">
        <f>'№ 6'!F73</f>
        <v>88.6</v>
      </c>
      <c r="F235" s="36">
        <f>'№ 6'!G73</f>
        <v>88.6</v>
      </c>
    </row>
    <row r="236" spans="1:6" ht="31.5">
      <c r="A236" s="86">
        <v>1240520460</v>
      </c>
      <c r="B236" s="86"/>
      <c r="C236" s="87" t="s">
        <v>182</v>
      </c>
      <c r="D236" s="36">
        <f>D237</f>
        <v>484.09999999999997</v>
      </c>
      <c r="E236" s="36">
        <f t="shared" ref="E236:F237" si="100">E237</f>
        <v>515.4</v>
      </c>
      <c r="F236" s="36">
        <f t="shared" si="100"/>
        <v>315.39999999999998</v>
      </c>
    </row>
    <row r="237" spans="1:6" ht="31.5">
      <c r="A237" s="86">
        <v>1240520460</v>
      </c>
      <c r="B237" s="88" t="s">
        <v>72</v>
      </c>
      <c r="C237" s="87" t="s">
        <v>102</v>
      </c>
      <c r="D237" s="36">
        <f>D238</f>
        <v>484.09999999999997</v>
      </c>
      <c r="E237" s="36">
        <f t="shared" si="100"/>
        <v>515.4</v>
      </c>
      <c r="F237" s="36">
        <f t="shared" si="100"/>
        <v>315.39999999999998</v>
      </c>
    </row>
    <row r="238" spans="1:6" ht="31.5">
      <c r="A238" s="86">
        <v>1240520460</v>
      </c>
      <c r="B238" s="86">
        <v>240</v>
      </c>
      <c r="C238" s="87" t="s">
        <v>315</v>
      </c>
      <c r="D238" s="36">
        <f>'№ 6'!E98</f>
        <v>484.09999999999997</v>
      </c>
      <c r="E238" s="36">
        <f>'№ 6'!F98</f>
        <v>515.4</v>
      </c>
      <c r="F238" s="36">
        <f>'№ 6'!G98</f>
        <v>315.39999999999998</v>
      </c>
    </row>
    <row r="239" spans="1:6" ht="31.5">
      <c r="A239" s="86" t="s">
        <v>152</v>
      </c>
      <c r="B239" s="10"/>
      <c r="C239" s="59" t="s">
        <v>160</v>
      </c>
      <c r="D239" s="36">
        <f>D240+D243+D246+D249</f>
        <v>124.6</v>
      </c>
      <c r="E239" s="36">
        <f t="shared" ref="E239:F239" si="101">E240+E243+E246+E249</f>
        <v>124.8</v>
      </c>
      <c r="F239" s="36">
        <f t="shared" si="101"/>
        <v>36</v>
      </c>
    </row>
    <row r="240" spans="1:6">
      <c r="A240" s="10" t="s">
        <v>248</v>
      </c>
      <c r="B240" s="11"/>
      <c r="C240" s="87" t="s">
        <v>163</v>
      </c>
      <c r="D240" s="36">
        <f>D241</f>
        <v>51.9</v>
      </c>
      <c r="E240" s="36">
        <f t="shared" ref="E240:F241" si="102">E241</f>
        <v>51.9</v>
      </c>
      <c r="F240" s="36">
        <f t="shared" si="102"/>
        <v>0</v>
      </c>
    </row>
    <row r="241" spans="1:6" ht="31.5">
      <c r="A241" s="10" t="s">
        <v>248</v>
      </c>
      <c r="B241" s="88" t="s">
        <v>72</v>
      </c>
      <c r="C241" s="87" t="s">
        <v>102</v>
      </c>
      <c r="D241" s="36">
        <f>D242</f>
        <v>51.9</v>
      </c>
      <c r="E241" s="36">
        <f t="shared" si="102"/>
        <v>51.9</v>
      </c>
      <c r="F241" s="36">
        <f t="shared" si="102"/>
        <v>0</v>
      </c>
    </row>
    <row r="242" spans="1:6" ht="31.5">
      <c r="A242" s="10" t="s">
        <v>248</v>
      </c>
      <c r="B242" s="86">
        <v>240</v>
      </c>
      <c r="C242" s="87" t="s">
        <v>315</v>
      </c>
      <c r="D242" s="36">
        <f>'№ 6'!E508</f>
        <v>51.9</v>
      </c>
      <c r="E242" s="36">
        <f>'№ 6'!F508</f>
        <v>51.9</v>
      </c>
      <c r="F242" s="36">
        <f>'№ 6'!G508</f>
        <v>0</v>
      </c>
    </row>
    <row r="243" spans="1:6" ht="16.5" customHeight="1">
      <c r="A243" s="10" t="s">
        <v>154</v>
      </c>
      <c r="B243" s="10"/>
      <c r="C243" s="87" t="s">
        <v>153</v>
      </c>
      <c r="D243" s="36">
        <f>D244</f>
        <v>22.7</v>
      </c>
      <c r="E243" s="36">
        <f t="shared" ref="E243:F244" si="103">E244</f>
        <v>22.9</v>
      </c>
      <c r="F243" s="36">
        <f t="shared" si="103"/>
        <v>0</v>
      </c>
    </row>
    <row r="244" spans="1:6" ht="31.5">
      <c r="A244" s="10" t="s">
        <v>154</v>
      </c>
      <c r="B244" s="88" t="s">
        <v>72</v>
      </c>
      <c r="C244" s="87" t="s">
        <v>102</v>
      </c>
      <c r="D244" s="36">
        <f>D245</f>
        <v>22.7</v>
      </c>
      <c r="E244" s="36">
        <f t="shared" si="103"/>
        <v>22.9</v>
      </c>
      <c r="F244" s="36">
        <f t="shared" si="103"/>
        <v>0</v>
      </c>
    </row>
    <row r="245" spans="1:6" ht="31.5">
      <c r="A245" s="10" t="s">
        <v>154</v>
      </c>
      <c r="B245" s="86">
        <v>240</v>
      </c>
      <c r="C245" s="87" t="s">
        <v>315</v>
      </c>
      <c r="D245" s="36">
        <f>'№ 6'!E511</f>
        <v>22.7</v>
      </c>
      <c r="E245" s="36">
        <f>'№ 6'!F511</f>
        <v>22.9</v>
      </c>
      <c r="F245" s="36">
        <f>'№ 6'!G511</f>
        <v>0</v>
      </c>
    </row>
    <row r="246" spans="1:6" ht="15" customHeight="1">
      <c r="A246" s="10" t="s">
        <v>156</v>
      </c>
      <c r="B246" s="10"/>
      <c r="C246" s="87" t="s">
        <v>155</v>
      </c>
      <c r="D246" s="36">
        <f>D247</f>
        <v>14</v>
      </c>
      <c r="E246" s="36">
        <f t="shared" ref="E246:F246" si="104">E247</f>
        <v>14</v>
      </c>
      <c r="F246" s="36">
        <f t="shared" si="104"/>
        <v>0</v>
      </c>
    </row>
    <row r="247" spans="1:6" ht="31.5">
      <c r="A247" s="10" t="s">
        <v>156</v>
      </c>
      <c r="B247" s="88" t="s">
        <v>72</v>
      </c>
      <c r="C247" s="87" t="s">
        <v>102</v>
      </c>
      <c r="D247" s="36">
        <f>D248</f>
        <v>14</v>
      </c>
      <c r="E247" s="36">
        <f t="shared" ref="E247:F247" si="105">E248</f>
        <v>14</v>
      </c>
      <c r="F247" s="36">
        <f t="shared" si="105"/>
        <v>0</v>
      </c>
    </row>
    <row r="248" spans="1:6" ht="31.5">
      <c r="A248" s="10" t="s">
        <v>156</v>
      </c>
      <c r="B248" s="86">
        <v>240</v>
      </c>
      <c r="C248" s="87" t="s">
        <v>315</v>
      </c>
      <c r="D248" s="36">
        <f>'№ 6'!E514</f>
        <v>14</v>
      </c>
      <c r="E248" s="36">
        <f>'№ 6'!F514</f>
        <v>14</v>
      </c>
      <c r="F248" s="36">
        <f>'№ 6'!G514</f>
        <v>0</v>
      </c>
    </row>
    <row r="249" spans="1:6">
      <c r="A249" s="10" t="s">
        <v>250</v>
      </c>
      <c r="B249" s="10"/>
      <c r="C249" s="87" t="s">
        <v>157</v>
      </c>
      <c r="D249" s="36">
        <f>D250</f>
        <v>36</v>
      </c>
      <c r="E249" s="36">
        <f t="shared" ref="E249:F249" si="106">E250</f>
        <v>36</v>
      </c>
      <c r="F249" s="36">
        <f t="shared" si="106"/>
        <v>36</v>
      </c>
    </row>
    <row r="250" spans="1:6">
      <c r="A250" s="10" t="s">
        <v>250</v>
      </c>
      <c r="B250" s="88" t="s">
        <v>76</v>
      </c>
      <c r="C250" s="87" t="s">
        <v>77</v>
      </c>
      <c r="D250" s="36">
        <f>D251</f>
        <v>36</v>
      </c>
      <c r="E250" s="36">
        <f t="shared" ref="E250:F250" si="107">E251</f>
        <v>36</v>
      </c>
      <c r="F250" s="36">
        <f t="shared" si="107"/>
        <v>36</v>
      </c>
    </row>
    <row r="251" spans="1:6">
      <c r="A251" s="10" t="s">
        <v>250</v>
      </c>
      <c r="B251" s="10" t="s">
        <v>158</v>
      </c>
      <c r="C251" s="87" t="s">
        <v>159</v>
      </c>
      <c r="D251" s="36">
        <f>'№ 6'!E517</f>
        <v>36</v>
      </c>
      <c r="E251" s="36">
        <f>'№ 6'!F517</f>
        <v>36</v>
      </c>
      <c r="F251" s="36">
        <f>'№ 6'!G517</f>
        <v>36</v>
      </c>
    </row>
    <row r="252" spans="1:6" ht="31.5">
      <c r="A252" s="88">
        <v>1250000000</v>
      </c>
      <c r="B252" s="86"/>
      <c r="C252" s="87" t="s">
        <v>325</v>
      </c>
      <c r="D252" s="36">
        <f>D253</f>
        <v>38734.100000000006</v>
      </c>
      <c r="E252" s="36">
        <f t="shared" ref="E252:F264" si="108">E253</f>
        <v>82324.3</v>
      </c>
      <c r="F252" s="36">
        <f t="shared" si="108"/>
        <v>0</v>
      </c>
    </row>
    <row r="253" spans="1:6" ht="47.25">
      <c r="A253" s="88" t="s">
        <v>339</v>
      </c>
      <c r="B253" s="86"/>
      <c r="C253" s="87" t="s">
        <v>336</v>
      </c>
      <c r="D253" s="36">
        <f>D263+D254+D260+D257</f>
        <v>38734.100000000006</v>
      </c>
      <c r="E253" s="36">
        <f t="shared" ref="E253:F253" si="109">E263+E254+E260+E257</f>
        <v>82324.3</v>
      </c>
      <c r="F253" s="36">
        <f t="shared" si="109"/>
        <v>0</v>
      </c>
    </row>
    <row r="254" spans="1:6" ht="47.25">
      <c r="A254" s="88" t="s">
        <v>345</v>
      </c>
      <c r="B254" s="86"/>
      <c r="C254" s="87" t="s">
        <v>346</v>
      </c>
      <c r="D254" s="36">
        <f>D255</f>
        <v>0</v>
      </c>
      <c r="E254" s="36">
        <f t="shared" ref="E254:F255" si="110">E255</f>
        <v>35614</v>
      </c>
      <c r="F254" s="36">
        <f t="shared" si="110"/>
        <v>0</v>
      </c>
    </row>
    <row r="255" spans="1:6" ht="31.5">
      <c r="A255" s="88" t="s">
        <v>345</v>
      </c>
      <c r="B255" s="88" t="s">
        <v>75</v>
      </c>
      <c r="C255" s="66" t="s">
        <v>103</v>
      </c>
      <c r="D255" s="36">
        <f>D256</f>
        <v>0</v>
      </c>
      <c r="E255" s="36">
        <f t="shared" si="110"/>
        <v>35614</v>
      </c>
      <c r="F255" s="36">
        <f t="shared" si="110"/>
        <v>0</v>
      </c>
    </row>
    <row r="256" spans="1:6">
      <c r="A256" s="88" t="s">
        <v>345</v>
      </c>
      <c r="B256" s="88" t="s">
        <v>131</v>
      </c>
      <c r="C256" s="66" t="s">
        <v>132</v>
      </c>
      <c r="D256" s="36">
        <f>'№ 6'!E368</f>
        <v>0</v>
      </c>
      <c r="E256" s="36">
        <f>'№ 6'!F368</f>
        <v>35614</v>
      </c>
      <c r="F256" s="36">
        <f>'№ 6'!G368</f>
        <v>0</v>
      </c>
    </row>
    <row r="257" spans="1:6">
      <c r="A257" s="88" t="s">
        <v>373</v>
      </c>
      <c r="B257" s="86"/>
      <c r="C257" s="87" t="s">
        <v>374</v>
      </c>
      <c r="D257" s="36">
        <f>D258</f>
        <v>996.8</v>
      </c>
      <c r="E257" s="36">
        <f t="shared" ref="E257:F258" si="111">E258</f>
        <v>0</v>
      </c>
      <c r="F257" s="36">
        <f t="shared" si="111"/>
        <v>0</v>
      </c>
    </row>
    <row r="258" spans="1:6" ht="31.5">
      <c r="A258" s="88" t="s">
        <v>373</v>
      </c>
      <c r="B258" s="88" t="s">
        <v>75</v>
      </c>
      <c r="C258" s="66" t="s">
        <v>103</v>
      </c>
      <c r="D258" s="36">
        <f>D259</f>
        <v>996.8</v>
      </c>
      <c r="E258" s="36">
        <f t="shared" si="111"/>
        <v>0</v>
      </c>
      <c r="F258" s="36">
        <f t="shared" si="111"/>
        <v>0</v>
      </c>
    </row>
    <row r="259" spans="1:6">
      <c r="A259" s="88" t="s">
        <v>373</v>
      </c>
      <c r="B259" s="88" t="s">
        <v>131</v>
      </c>
      <c r="C259" s="66" t="s">
        <v>132</v>
      </c>
      <c r="D259" s="36">
        <f>'№ 6'!E371</f>
        <v>996.8</v>
      </c>
      <c r="E259" s="36">
        <f>'№ 6'!F371</f>
        <v>0</v>
      </c>
      <c r="F259" s="36">
        <f>'№ 6'!G371</f>
        <v>0</v>
      </c>
    </row>
    <row r="260" spans="1:6" ht="51" customHeight="1">
      <c r="A260" s="88" t="s">
        <v>347</v>
      </c>
      <c r="B260" s="86"/>
      <c r="C260" s="66" t="s">
        <v>348</v>
      </c>
      <c r="D260" s="36">
        <f>D261</f>
        <v>37737.300000000003</v>
      </c>
      <c r="E260" s="36">
        <f t="shared" ref="E260:F261" si="112">E261</f>
        <v>37806.800000000003</v>
      </c>
      <c r="F260" s="36">
        <f t="shared" si="112"/>
        <v>0</v>
      </c>
    </row>
    <row r="261" spans="1:6" ht="31.5">
      <c r="A261" s="88" t="s">
        <v>347</v>
      </c>
      <c r="B261" s="88" t="s">
        <v>75</v>
      </c>
      <c r="C261" s="66" t="s">
        <v>103</v>
      </c>
      <c r="D261" s="36">
        <f>D262</f>
        <v>37737.300000000003</v>
      </c>
      <c r="E261" s="36">
        <f t="shared" si="112"/>
        <v>37806.800000000003</v>
      </c>
      <c r="F261" s="36">
        <f t="shared" si="112"/>
        <v>0</v>
      </c>
    </row>
    <row r="262" spans="1:6">
      <c r="A262" s="88" t="s">
        <v>347</v>
      </c>
      <c r="B262" s="88" t="s">
        <v>131</v>
      </c>
      <c r="C262" s="66" t="s">
        <v>132</v>
      </c>
      <c r="D262" s="36">
        <f>'№ 6'!E374</f>
        <v>37737.300000000003</v>
      </c>
      <c r="E262" s="36">
        <f>'№ 6'!F374</f>
        <v>37806.800000000003</v>
      </c>
      <c r="F262" s="36">
        <f>'№ 6'!G374</f>
        <v>0</v>
      </c>
    </row>
    <row r="263" spans="1:6" ht="31.5">
      <c r="A263" s="88" t="s">
        <v>340</v>
      </c>
      <c r="B263" s="86"/>
      <c r="C263" s="87" t="s">
        <v>338</v>
      </c>
      <c r="D263" s="36">
        <f>D264</f>
        <v>0</v>
      </c>
      <c r="E263" s="36">
        <f t="shared" si="108"/>
        <v>8903.5</v>
      </c>
      <c r="F263" s="36">
        <f t="shared" si="108"/>
        <v>0</v>
      </c>
    </row>
    <row r="264" spans="1:6" ht="31.5">
      <c r="A264" s="88" t="s">
        <v>340</v>
      </c>
      <c r="B264" s="88" t="s">
        <v>75</v>
      </c>
      <c r="C264" s="66" t="s">
        <v>103</v>
      </c>
      <c r="D264" s="36">
        <f>D265</f>
        <v>0</v>
      </c>
      <c r="E264" s="36">
        <f t="shared" si="108"/>
        <v>8903.5</v>
      </c>
      <c r="F264" s="36">
        <f t="shared" si="108"/>
        <v>0</v>
      </c>
    </row>
    <row r="265" spans="1:6">
      <c r="A265" s="88" t="s">
        <v>340</v>
      </c>
      <c r="B265" s="88" t="s">
        <v>131</v>
      </c>
      <c r="C265" s="66" t="s">
        <v>132</v>
      </c>
      <c r="D265" s="36">
        <f>'№ 6'!E377</f>
        <v>0</v>
      </c>
      <c r="E265" s="36">
        <f>'№ 6'!F377</f>
        <v>8903.5</v>
      </c>
      <c r="F265" s="36">
        <f>'№ 6'!G377</f>
        <v>0</v>
      </c>
    </row>
    <row r="266" spans="1:6" ht="47.25">
      <c r="A266" s="27">
        <v>1300000000</v>
      </c>
      <c r="B266" s="15"/>
      <c r="C266" s="55" t="s">
        <v>222</v>
      </c>
      <c r="D266" s="35">
        <f>D267+D282+D318</f>
        <v>85166</v>
      </c>
      <c r="E266" s="35">
        <f>E267+E282+E318</f>
        <v>16778.400000000001</v>
      </c>
      <c r="F266" s="35">
        <f>F267+F282+F318</f>
        <v>9507.0999999999985</v>
      </c>
    </row>
    <row r="267" spans="1:6" ht="47.25">
      <c r="A267" s="88">
        <v>1310000000</v>
      </c>
      <c r="B267" s="86"/>
      <c r="C267" s="87" t="s">
        <v>267</v>
      </c>
      <c r="D267" s="36">
        <f>D272+D279+D268</f>
        <v>64021.599999999999</v>
      </c>
      <c r="E267" s="36">
        <f t="shared" ref="E267:F267" si="113">E272+E279+E268</f>
        <v>147.1</v>
      </c>
      <c r="F267" s="36">
        <f t="shared" si="113"/>
        <v>0</v>
      </c>
    </row>
    <row r="268" spans="1:6" ht="31.5">
      <c r="A268" s="88">
        <v>1310200000</v>
      </c>
      <c r="B268" s="86"/>
      <c r="C268" s="66" t="s">
        <v>372</v>
      </c>
      <c r="D268" s="36">
        <f>D269</f>
        <v>249</v>
      </c>
      <c r="E268" s="36">
        <f t="shared" ref="E268:F270" si="114">E269</f>
        <v>0</v>
      </c>
      <c r="F268" s="36">
        <f t="shared" si="114"/>
        <v>0</v>
      </c>
    </row>
    <row r="269" spans="1:6">
      <c r="A269" s="86">
        <v>1310220100</v>
      </c>
      <c r="B269" s="86"/>
      <c r="C269" s="73" t="s">
        <v>354</v>
      </c>
      <c r="D269" s="36">
        <f>D270</f>
        <v>249</v>
      </c>
      <c r="E269" s="36">
        <f t="shared" si="114"/>
        <v>0</v>
      </c>
      <c r="F269" s="36">
        <f t="shared" si="114"/>
        <v>0</v>
      </c>
    </row>
    <row r="270" spans="1:6" ht="31.5">
      <c r="A270" s="86">
        <v>1310220100</v>
      </c>
      <c r="B270" s="88" t="s">
        <v>72</v>
      </c>
      <c r="C270" s="66" t="s">
        <v>102</v>
      </c>
      <c r="D270" s="36">
        <f>D271</f>
        <v>249</v>
      </c>
      <c r="E270" s="36">
        <f t="shared" si="114"/>
        <v>0</v>
      </c>
      <c r="F270" s="36">
        <f t="shared" si="114"/>
        <v>0</v>
      </c>
    </row>
    <row r="271" spans="1:6" ht="31.5">
      <c r="A271" s="86">
        <v>1310220100</v>
      </c>
      <c r="B271" s="86">
        <v>240</v>
      </c>
      <c r="C271" s="66" t="s">
        <v>315</v>
      </c>
      <c r="D271" s="36">
        <f>'№ 6'!E284</f>
        <v>249</v>
      </c>
      <c r="E271" s="36">
        <f>'№ 6'!F284</f>
        <v>0</v>
      </c>
      <c r="F271" s="36">
        <f>'№ 6'!G284</f>
        <v>0</v>
      </c>
    </row>
    <row r="272" spans="1:6" ht="47.25">
      <c r="A272" s="88" t="s">
        <v>341</v>
      </c>
      <c r="B272" s="24"/>
      <c r="C272" s="87" t="s">
        <v>337</v>
      </c>
      <c r="D272" s="36">
        <f>D276+D273</f>
        <v>13772.6</v>
      </c>
      <c r="E272" s="36">
        <f t="shared" ref="E272:F272" si="115">E276+E273</f>
        <v>147.1</v>
      </c>
      <c r="F272" s="36">
        <f t="shared" si="115"/>
        <v>0</v>
      </c>
    </row>
    <row r="273" spans="1:6">
      <c r="A273" s="86" t="s">
        <v>364</v>
      </c>
      <c r="B273" s="86"/>
      <c r="C273" s="73" t="s">
        <v>354</v>
      </c>
      <c r="D273" s="36">
        <f>D274</f>
        <v>355.5</v>
      </c>
      <c r="E273" s="36">
        <f t="shared" ref="E273:F274" si="116">E274</f>
        <v>147.1</v>
      </c>
      <c r="F273" s="36">
        <f t="shared" si="116"/>
        <v>0</v>
      </c>
    </row>
    <row r="274" spans="1:6" ht="31.5">
      <c r="A274" s="86" t="s">
        <v>364</v>
      </c>
      <c r="B274" s="88" t="s">
        <v>72</v>
      </c>
      <c r="C274" s="66" t="s">
        <v>102</v>
      </c>
      <c r="D274" s="36">
        <f>D275</f>
        <v>355.5</v>
      </c>
      <c r="E274" s="36">
        <f t="shared" si="116"/>
        <v>147.1</v>
      </c>
      <c r="F274" s="36">
        <f t="shared" si="116"/>
        <v>0</v>
      </c>
    </row>
    <row r="275" spans="1:6" ht="31.5">
      <c r="A275" s="86" t="s">
        <v>364</v>
      </c>
      <c r="B275" s="86">
        <v>240</v>
      </c>
      <c r="C275" s="66" t="s">
        <v>315</v>
      </c>
      <c r="D275" s="36">
        <f>'№ 6'!E288</f>
        <v>355.5</v>
      </c>
      <c r="E275" s="36">
        <f>'№ 6'!F288</f>
        <v>147.1</v>
      </c>
      <c r="F275" s="36">
        <f>'№ 6'!G288</f>
        <v>0</v>
      </c>
    </row>
    <row r="276" spans="1:6">
      <c r="A276" s="88" t="s">
        <v>342</v>
      </c>
      <c r="B276" s="86"/>
      <c r="C276" s="61" t="s">
        <v>281</v>
      </c>
      <c r="D276" s="36">
        <f>D277</f>
        <v>13417.1</v>
      </c>
      <c r="E276" s="36">
        <f t="shared" ref="E276:F277" si="117">E277</f>
        <v>0</v>
      </c>
      <c r="F276" s="36">
        <f t="shared" si="117"/>
        <v>0</v>
      </c>
    </row>
    <row r="277" spans="1:6" ht="31.5">
      <c r="A277" s="88" t="s">
        <v>342</v>
      </c>
      <c r="B277" s="88" t="s">
        <v>72</v>
      </c>
      <c r="C277" s="87" t="s">
        <v>102</v>
      </c>
      <c r="D277" s="36">
        <f>D278</f>
        <v>13417.1</v>
      </c>
      <c r="E277" s="36">
        <f t="shared" si="117"/>
        <v>0</v>
      </c>
      <c r="F277" s="36">
        <f t="shared" si="117"/>
        <v>0</v>
      </c>
    </row>
    <row r="278" spans="1:6" ht="31.5">
      <c r="A278" s="88" t="s">
        <v>342</v>
      </c>
      <c r="B278" s="86">
        <v>240</v>
      </c>
      <c r="C278" s="87" t="s">
        <v>315</v>
      </c>
      <c r="D278" s="36">
        <f>'№ 6'!E291</f>
        <v>13417.1</v>
      </c>
      <c r="E278" s="36">
        <f>'№ 6'!F291</f>
        <v>0</v>
      </c>
      <c r="F278" s="36">
        <f>'№ 6'!G291</f>
        <v>0</v>
      </c>
    </row>
    <row r="279" spans="1:6" ht="63">
      <c r="A279" s="86" t="s">
        <v>352</v>
      </c>
      <c r="B279" s="86"/>
      <c r="C279" s="66" t="s">
        <v>353</v>
      </c>
      <c r="D279" s="36">
        <f>D280</f>
        <v>50000</v>
      </c>
      <c r="E279" s="36">
        <f t="shared" ref="E279:F280" si="118">E280</f>
        <v>0</v>
      </c>
      <c r="F279" s="36">
        <f t="shared" si="118"/>
        <v>0</v>
      </c>
    </row>
    <row r="280" spans="1:6" ht="31.5">
      <c r="A280" s="86" t="s">
        <v>352</v>
      </c>
      <c r="B280" s="88" t="s">
        <v>72</v>
      </c>
      <c r="C280" s="66" t="s">
        <v>102</v>
      </c>
      <c r="D280" s="36">
        <f>D281</f>
        <v>50000</v>
      </c>
      <c r="E280" s="36">
        <f t="shared" si="118"/>
        <v>0</v>
      </c>
      <c r="F280" s="36">
        <f t="shared" si="118"/>
        <v>0</v>
      </c>
    </row>
    <row r="281" spans="1:6" ht="31.5">
      <c r="A281" s="86" t="s">
        <v>352</v>
      </c>
      <c r="B281" s="86">
        <v>240</v>
      </c>
      <c r="C281" s="66" t="s">
        <v>315</v>
      </c>
      <c r="D281" s="36">
        <f>'№ 6'!E294</f>
        <v>50000</v>
      </c>
      <c r="E281" s="36">
        <f>'№ 6'!F294</f>
        <v>0</v>
      </c>
      <c r="F281" s="36">
        <f>'№ 6'!G294</f>
        <v>0</v>
      </c>
    </row>
    <row r="282" spans="1:6">
      <c r="A282" s="88">
        <v>1320000000</v>
      </c>
      <c r="B282" s="86"/>
      <c r="C282" s="87" t="s">
        <v>229</v>
      </c>
      <c r="D282" s="36">
        <f>D283+D293</f>
        <v>20610.099999999999</v>
      </c>
      <c r="E282" s="36">
        <f>E283+E293</f>
        <v>16089.1</v>
      </c>
      <c r="F282" s="36">
        <f>F283+F293</f>
        <v>8813.7999999999993</v>
      </c>
    </row>
    <row r="283" spans="1:6" ht="31.5">
      <c r="A283" s="88">
        <v>1320100000</v>
      </c>
      <c r="B283" s="86"/>
      <c r="C283" s="87" t="s">
        <v>230</v>
      </c>
      <c r="D283" s="36">
        <f>D290+D287+D284</f>
        <v>2339.0999999999995</v>
      </c>
      <c r="E283" s="36">
        <f t="shared" ref="E283:F283" si="119">E290+E287+E284</f>
        <v>0</v>
      </c>
      <c r="F283" s="36">
        <f t="shared" si="119"/>
        <v>0</v>
      </c>
    </row>
    <row r="284" spans="1:6" ht="31.5">
      <c r="A284" s="86">
        <v>1320110430</v>
      </c>
      <c r="B284" s="86"/>
      <c r="C284" s="66" t="s">
        <v>414</v>
      </c>
      <c r="D284" s="36">
        <f>D285</f>
        <v>1103.1999999999998</v>
      </c>
      <c r="E284" s="36">
        <f t="shared" ref="E284:F285" si="120">E285</f>
        <v>0</v>
      </c>
      <c r="F284" s="36">
        <f t="shared" si="120"/>
        <v>0</v>
      </c>
    </row>
    <row r="285" spans="1:6" ht="31.5">
      <c r="A285" s="86">
        <v>1320110430</v>
      </c>
      <c r="B285" s="88" t="s">
        <v>72</v>
      </c>
      <c r="C285" s="66" t="s">
        <v>102</v>
      </c>
      <c r="D285" s="36">
        <f>D286</f>
        <v>1103.1999999999998</v>
      </c>
      <c r="E285" s="36">
        <f t="shared" si="120"/>
        <v>0</v>
      </c>
      <c r="F285" s="36">
        <f t="shared" si="120"/>
        <v>0</v>
      </c>
    </row>
    <row r="286" spans="1:6" ht="31.5">
      <c r="A286" s="86">
        <v>1320110430</v>
      </c>
      <c r="B286" s="86">
        <v>240</v>
      </c>
      <c r="C286" s="66" t="s">
        <v>315</v>
      </c>
      <c r="D286" s="36">
        <f>'№ 6'!E299</f>
        <v>1103.1999999999998</v>
      </c>
      <c r="E286" s="36">
        <f>'№ 6'!F299</f>
        <v>0</v>
      </c>
      <c r="F286" s="36">
        <f>'№ 6'!G299</f>
        <v>0</v>
      </c>
    </row>
    <row r="287" spans="1:6">
      <c r="A287" s="86">
        <v>1320120100</v>
      </c>
      <c r="B287" s="86"/>
      <c r="C287" s="66" t="s">
        <v>354</v>
      </c>
      <c r="D287" s="36">
        <f>D288</f>
        <v>16.399999999999999</v>
      </c>
      <c r="E287" s="36">
        <f t="shared" ref="E287:F288" si="121">E288</f>
        <v>0</v>
      </c>
      <c r="F287" s="36">
        <f t="shared" si="121"/>
        <v>0</v>
      </c>
    </row>
    <row r="288" spans="1:6" ht="31.5">
      <c r="A288" s="86">
        <v>1320120100</v>
      </c>
      <c r="B288" s="88" t="s">
        <v>72</v>
      </c>
      <c r="C288" s="66" t="s">
        <v>102</v>
      </c>
      <c r="D288" s="36">
        <f>D289</f>
        <v>16.399999999999999</v>
      </c>
      <c r="E288" s="36">
        <f t="shared" si="121"/>
        <v>0</v>
      </c>
      <c r="F288" s="36">
        <f t="shared" si="121"/>
        <v>0</v>
      </c>
    </row>
    <row r="289" spans="1:6" ht="31.5">
      <c r="A289" s="86">
        <v>1320120100</v>
      </c>
      <c r="B289" s="86">
        <v>240</v>
      </c>
      <c r="C289" s="66" t="s">
        <v>315</v>
      </c>
      <c r="D289" s="36">
        <f>'№ 6'!E302</f>
        <v>16.399999999999999</v>
      </c>
      <c r="E289" s="36">
        <f>'№ 6'!F302</f>
        <v>0</v>
      </c>
      <c r="F289" s="36">
        <f>'№ 6'!G302</f>
        <v>0</v>
      </c>
    </row>
    <row r="290" spans="1:6" ht="31.5">
      <c r="A290" s="86" t="s">
        <v>141</v>
      </c>
      <c r="B290" s="86"/>
      <c r="C290" s="61" t="s">
        <v>277</v>
      </c>
      <c r="D290" s="36">
        <f>D291</f>
        <v>1219.4999999999998</v>
      </c>
      <c r="E290" s="36">
        <f t="shared" ref="E290:F291" si="122">E291</f>
        <v>0</v>
      </c>
      <c r="F290" s="36">
        <f t="shared" si="122"/>
        <v>0</v>
      </c>
    </row>
    <row r="291" spans="1:6" ht="31.5">
      <c r="A291" s="86" t="s">
        <v>141</v>
      </c>
      <c r="B291" s="88" t="s">
        <v>72</v>
      </c>
      <c r="C291" s="87" t="s">
        <v>102</v>
      </c>
      <c r="D291" s="36">
        <f>D292</f>
        <v>1219.4999999999998</v>
      </c>
      <c r="E291" s="36">
        <f t="shared" si="122"/>
        <v>0</v>
      </c>
      <c r="F291" s="36">
        <f t="shared" si="122"/>
        <v>0</v>
      </c>
    </row>
    <row r="292" spans="1:6" ht="31.5">
      <c r="A292" s="86" t="s">
        <v>141</v>
      </c>
      <c r="B292" s="86">
        <v>240</v>
      </c>
      <c r="C292" s="87" t="s">
        <v>315</v>
      </c>
      <c r="D292" s="36">
        <f>'№ 6'!E305</f>
        <v>1219.4999999999998</v>
      </c>
      <c r="E292" s="36">
        <f>'№ 6'!F305</f>
        <v>0</v>
      </c>
      <c r="F292" s="36">
        <f>'№ 6'!G305</f>
        <v>0</v>
      </c>
    </row>
    <row r="293" spans="1:6">
      <c r="A293" s="88">
        <v>1320200000</v>
      </c>
      <c r="B293" s="86"/>
      <c r="C293" s="87" t="s">
        <v>142</v>
      </c>
      <c r="D293" s="36">
        <f>D297+D300+D303+D306+D312+D294+D309+D315</f>
        <v>18271</v>
      </c>
      <c r="E293" s="36">
        <f t="shared" ref="E293:F293" si="123">E297+E300+E303+E306+E312+E294+E309+E315</f>
        <v>16089.1</v>
      </c>
      <c r="F293" s="36">
        <f t="shared" si="123"/>
        <v>8813.7999999999993</v>
      </c>
    </row>
    <row r="294" spans="1:6" ht="31.5">
      <c r="A294" s="86">
        <v>1320210280</v>
      </c>
      <c r="B294" s="86"/>
      <c r="C294" s="87" t="s">
        <v>397</v>
      </c>
      <c r="D294" s="36">
        <f>D295</f>
        <v>109.7</v>
      </c>
      <c r="E294" s="36">
        <f t="shared" ref="E294:F295" si="124">E295</f>
        <v>0</v>
      </c>
      <c r="F294" s="36">
        <f t="shared" si="124"/>
        <v>0</v>
      </c>
    </row>
    <row r="295" spans="1:6" ht="31.5">
      <c r="A295" s="86">
        <v>1320210280</v>
      </c>
      <c r="B295" s="88" t="s">
        <v>72</v>
      </c>
      <c r="C295" s="87" t="s">
        <v>102</v>
      </c>
      <c r="D295" s="36">
        <f>D296</f>
        <v>109.7</v>
      </c>
      <c r="E295" s="36">
        <f t="shared" si="124"/>
        <v>0</v>
      </c>
      <c r="F295" s="36">
        <f t="shared" si="124"/>
        <v>0</v>
      </c>
    </row>
    <row r="296" spans="1:6" ht="31.5">
      <c r="A296" s="86">
        <v>1320210280</v>
      </c>
      <c r="B296" s="86">
        <v>240</v>
      </c>
      <c r="C296" s="87" t="s">
        <v>315</v>
      </c>
      <c r="D296" s="36">
        <f>'№ 6'!E309</f>
        <v>109.7</v>
      </c>
      <c r="E296" s="36">
        <f>'№ 6'!F309</f>
        <v>0</v>
      </c>
      <c r="F296" s="36">
        <f>'№ 6'!G309</f>
        <v>0</v>
      </c>
    </row>
    <row r="297" spans="1:6">
      <c r="A297" s="86">
        <v>1320220050</v>
      </c>
      <c r="B297" s="86"/>
      <c r="C297" s="87" t="s">
        <v>143</v>
      </c>
      <c r="D297" s="36">
        <f>D298</f>
        <v>14422.2</v>
      </c>
      <c r="E297" s="36">
        <f t="shared" ref="E297:F298" si="125">E298</f>
        <v>13076.1</v>
      </c>
      <c r="F297" s="36">
        <f t="shared" si="125"/>
        <v>8066.5</v>
      </c>
    </row>
    <row r="298" spans="1:6" ht="31.5">
      <c r="A298" s="86">
        <v>1320220050</v>
      </c>
      <c r="B298" s="88" t="s">
        <v>72</v>
      </c>
      <c r="C298" s="87" t="s">
        <v>102</v>
      </c>
      <c r="D298" s="36">
        <f>D299</f>
        <v>14422.2</v>
      </c>
      <c r="E298" s="36">
        <f t="shared" si="125"/>
        <v>13076.1</v>
      </c>
      <c r="F298" s="36">
        <f t="shared" si="125"/>
        <v>8066.5</v>
      </c>
    </row>
    <row r="299" spans="1:6" ht="31.5">
      <c r="A299" s="86">
        <v>1320220050</v>
      </c>
      <c r="B299" s="86">
        <v>240</v>
      </c>
      <c r="C299" s="87" t="s">
        <v>315</v>
      </c>
      <c r="D299" s="36">
        <f>'№ 6'!E312</f>
        <v>14422.2</v>
      </c>
      <c r="E299" s="36">
        <f>'№ 6'!F312</f>
        <v>13076.1</v>
      </c>
      <c r="F299" s="36">
        <f>'№ 6'!G312</f>
        <v>8066.5</v>
      </c>
    </row>
    <row r="300" spans="1:6">
      <c r="A300" s="86">
        <v>1320220060</v>
      </c>
      <c r="B300" s="86"/>
      <c r="C300" s="87" t="s">
        <v>144</v>
      </c>
      <c r="D300" s="36">
        <f>D301</f>
        <v>1049.5999999999995</v>
      </c>
      <c r="E300" s="36">
        <f t="shared" ref="E300:F301" si="126">E301</f>
        <v>500</v>
      </c>
      <c r="F300" s="36">
        <f t="shared" si="126"/>
        <v>0</v>
      </c>
    </row>
    <row r="301" spans="1:6" ht="31.5">
      <c r="A301" s="86">
        <v>1320220060</v>
      </c>
      <c r="B301" s="88" t="s">
        <v>72</v>
      </c>
      <c r="C301" s="87" t="s">
        <v>102</v>
      </c>
      <c r="D301" s="36">
        <f>D302</f>
        <v>1049.5999999999995</v>
      </c>
      <c r="E301" s="36">
        <f t="shared" si="126"/>
        <v>500</v>
      </c>
      <c r="F301" s="36">
        <f t="shared" si="126"/>
        <v>0</v>
      </c>
    </row>
    <row r="302" spans="1:6" ht="31.5">
      <c r="A302" s="86">
        <v>1320220060</v>
      </c>
      <c r="B302" s="86">
        <v>240</v>
      </c>
      <c r="C302" s="87" t="s">
        <v>315</v>
      </c>
      <c r="D302" s="36">
        <f>'№ 6'!E315</f>
        <v>1049.5999999999995</v>
      </c>
      <c r="E302" s="36">
        <f>'№ 6'!F315</f>
        <v>500</v>
      </c>
      <c r="F302" s="36">
        <f>'№ 6'!G315</f>
        <v>0</v>
      </c>
    </row>
    <row r="303" spans="1:6">
      <c r="A303" s="86">
        <v>1320220070</v>
      </c>
      <c r="B303" s="86"/>
      <c r="C303" s="87" t="s">
        <v>145</v>
      </c>
      <c r="D303" s="36">
        <f>D304</f>
        <v>1977.4</v>
      </c>
      <c r="E303" s="36">
        <f t="shared" ref="E303:F304" si="127">E304</f>
        <v>1998.4</v>
      </c>
      <c r="F303" s="36">
        <f t="shared" si="127"/>
        <v>601.4</v>
      </c>
    </row>
    <row r="304" spans="1:6" ht="31.5">
      <c r="A304" s="86">
        <v>1320220070</v>
      </c>
      <c r="B304" s="88" t="s">
        <v>72</v>
      </c>
      <c r="C304" s="87" t="s">
        <v>102</v>
      </c>
      <c r="D304" s="36">
        <f>D305</f>
        <v>1977.4</v>
      </c>
      <c r="E304" s="36">
        <f t="shared" si="127"/>
        <v>1998.4</v>
      </c>
      <c r="F304" s="36">
        <f t="shared" si="127"/>
        <v>601.4</v>
      </c>
    </row>
    <row r="305" spans="1:6" ht="31.5">
      <c r="A305" s="86">
        <v>1320220070</v>
      </c>
      <c r="B305" s="86">
        <v>240</v>
      </c>
      <c r="C305" s="87" t="s">
        <v>315</v>
      </c>
      <c r="D305" s="36">
        <f>'№ 6'!E318</f>
        <v>1977.4</v>
      </c>
      <c r="E305" s="36">
        <f>'№ 6'!F318</f>
        <v>1998.4</v>
      </c>
      <c r="F305" s="36">
        <f>'№ 6'!G318</f>
        <v>601.4</v>
      </c>
    </row>
    <row r="306" spans="1:6">
      <c r="A306" s="86">
        <v>1320220080</v>
      </c>
      <c r="B306" s="86"/>
      <c r="C306" s="87" t="s">
        <v>146</v>
      </c>
      <c r="D306" s="36">
        <f>D307</f>
        <v>103.9</v>
      </c>
      <c r="E306" s="36">
        <f t="shared" ref="E306:F307" si="128">E307</f>
        <v>145.9</v>
      </c>
      <c r="F306" s="36">
        <f t="shared" si="128"/>
        <v>145.9</v>
      </c>
    </row>
    <row r="307" spans="1:6" ht="31.5">
      <c r="A307" s="86">
        <v>1320220080</v>
      </c>
      <c r="B307" s="88" t="s">
        <v>72</v>
      </c>
      <c r="C307" s="87" t="s">
        <v>102</v>
      </c>
      <c r="D307" s="36">
        <f>D308</f>
        <v>103.9</v>
      </c>
      <c r="E307" s="36">
        <f t="shared" si="128"/>
        <v>145.9</v>
      </c>
      <c r="F307" s="36">
        <f t="shared" si="128"/>
        <v>145.9</v>
      </c>
    </row>
    <row r="308" spans="1:6" ht="31.5">
      <c r="A308" s="86">
        <v>1320220080</v>
      </c>
      <c r="B308" s="86">
        <v>240</v>
      </c>
      <c r="C308" s="87" t="s">
        <v>315</v>
      </c>
      <c r="D308" s="36">
        <f>'№ 6'!E321</f>
        <v>103.9</v>
      </c>
      <c r="E308" s="36">
        <f>'№ 6'!F321</f>
        <v>145.9</v>
      </c>
      <c r="F308" s="36">
        <f>'№ 6'!G321</f>
        <v>145.9</v>
      </c>
    </row>
    <row r="309" spans="1:6" ht="31.5">
      <c r="A309" s="86">
        <v>1320220090</v>
      </c>
      <c r="B309" s="86"/>
      <c r="C309" s="66" t="s">
        <v>424</v>
      </c>
      <c r="D309" s="36">
        <f>D310</f>
        <v>30</v>
      </c>
      <c r="E309" s="36">
        <f t="shared" ref="E309:F310" si="129">E310</f>
        <v>0</v>
      </c>
      <c r="F309" s="36">
        <f t="shared" si="129"/>
        <v>0</v>
      </c>
    </row>
    <row r="310" spans="1:6" ht="31.5">
      <c r="A310" s="86">
        <v>1320220090</v>
      </c>
      <c r="B310" s="88" t="s">
        <v>72</v>
      </c>
      <c r="C310" s="87" t="s">
        <v>102</v>
      </c>
      <c r="D310" s="36">
        <f>D311</f>
        <v>30</v>
      </c>
      <c r="E310" s="36">
        <f t="shared" si="129"/>
        <v>0</v>
      </c>
      <c r="F310" s="36">
        <f t="shared" si="129"/>
        <v>0</v>
      </c>
    </row>
    <row r="311" spans="1:6" ht="31.5">
      <c r="A311" s="86">
        <v>1320220090</v>
      </c>
      <c r="B311" s="86">
        <v>240</v>
      </c>
      <c r="C311" s="87" t="s">
        <v>315</v>
      </c>
      <c r="D311" s="36">
        <f>'№ 6'!E324</f>
        <v>30</v>
      </c>
      <c r="E311" s="36">
        <f>'№ 6'!F324</f>
        <v>0</v>
      </c>
      <c r="F311" s="36">
        <f>'№ 6'!G324</f>
        <v>0</v>
      </c>
    </row>
    <row r="312" spans="1:6">
      <c r="A312" s="86" t="s">
        <v>148</v>
      </c>
      <c r="B312" s="86"/>
      <c r="C312" s="87" t="s">
        <v>147</v>
      </c>
      <c r="D312" s="36">
        <f>D313</f>
        <v>272.60000000000002</v>
      </c>
      <c r="E312" s="36">
        <f t="shared" ref="E312:F313" si="130">E313</f>
        <v>368.7</v>
      </c>
      <c r="F312" s="36">
        <f t="shared" si="130"/>
        <v>0</v>
      </c>
    </row>
    <row r="313" spans="1:6" ht="31.5">
      <c r="A313" s="86" t="s">
        <v>148</v>
      </c>
      <c r="B313" s="88" t="s">
        <v>72</v>
      </c>
      <c r="C313" s="87" t="s">
        <v>102</v>
      </c>
      <c r="D313" s="36">
        <f>D314</f>
        <v>272.60000000000002</v>
      </c>
      <c r="E313" s="36">
        <f t="shared" si="130"/>
        <v>368.7</v>
      </c>
      <c r="F313" s="36">
        <f t="shared" si="130"/>
        <v>0</v>
      </c>
    </row>
    <row r="314" spans="1:6" ht="31.5">
      <c r="A314" s="86" t="s">
        <v>148</v>
      </c>
      <c r="B314" s="86">
        <v>240</v>
      </c>
      <c r="C314" s="87" t="s">
        <v>315</v>
      </c>
      <c r="D314" s="36">
        <f>'№ 6'!E327</f>
        <v>272.60000000000002</v>
      </c>
      <c r="E314" s="36">
        <f>'№ 6'!F327</f>
        <v>368.7</v>
      </c>
      <c r="F314" s="36">
        <f>'№ 6'!G327</f>
        <v>0</v>
      </c>
    </row>
    <row r="315" spans="1:6" ht="63">
      <c r="A315" s="192" t="s">
        <v>773</v>
      </c>
      <c r="B315" s="192"/>
      <c r="C315" s="198" t="s">
        <v>778</v>
      </c>
      <c r="D315" s="36">
        <f>D316</f>
        <v>305.60000000000002</v>
      </c>
      <c r="E315" s="36">
        <f t="shared" ref="E315:F316" si="131">E316</f>
        <v>0</v>
      </c>
      <c r="F315" s="36">
        <f t="shared" si="131"/>
        <v>0</v>
      </c>
    </row>
    <row r="316" spans="1:6" ht="31.5">
      <c r="A316" s="192" t="s">
        <v>773</v>
      </c>
      <c r="B316" s="194" t="s">
        <v>72</v>
      </c>
      <c r="C316" s="193" t="s">
        <v>102</v>
      </c>
      <c r="D316" s="36">
        <f>D317</f>
        <v>305.60000000000002</v>
      </c>
      <c r="E316" s="36">
        <f t="shared" si="131"/>
        <v>0</v>
      </c>
      <c r="F316" s="36">
        <f t="shared" si="131"/>
        <v>0</v>
      </c>
    </row>
    <row r="317" spans="1:6" ht="31.5">
      <c r="A317" s="192" t="s">
        <v>773</v>
      </c>
      <c r="B317" s="192">
        <v>240</v>
      </c>
      <c r="C317" s="193" t="s">
        <v>315</v>
      </c>
      <c r="D317" s="36">
        <f>'№ 6'!E330</f>
        <v>305.60000000000002</v>
      </c>
      <c r="E317" s="36">
        <f>'№ 6'!F330</f>
        <v>0</v>
      </c>
      <c r="F317" s="36">
        <f>'№ 6'!G330</f>
        <v>0</v>
      </c>
    </row>
    <row r="318" spans="1:6">
      <c r="A318" s="88">
        <v>1330000000</v>
      </c>
      <c r="B318" s="86"/>
      <c r="C318" s="87" t="s">
        <v>136</v>
      </c>
      <c r="D318" s="36">
        <f>D323+D319</f>
        <v>534.29999999999995</v>
      </c>
      <c r="E318" s="36">
        <f>E323+E319</f>
        <v>542.20000000000005</v>
      </c>
      <c r="F318" s="36">
        <f>F323+F319</f>
        <v>693.3</v>
      </c>
    </row>
    <row r="319" spans="1:6" ht="31.5">
      <c r="A319" s="88">
        <v>1330100000</v>
      </c>
      <c r="B319" s="86"/>
      <c r="C319" s="59" t="s">
        <v>223</v>
      </c>
      <c r="D319" s="36">
        <f>D320</f>
        <v>375.4</v>
      </c>
      <c r="E319" s="36">
        <f t="shared" ref="E319:F321" si="132">E320</f>
        <v>385.3</v>
      </c>
      <c r="F319" s="36">
        <f t="shared" si="132"/>
        <v>389.3</v>
      </c>
    </row>
    <row r="320" spans="1:6" ht="78.75">
      <c r="A320" s="88">
        <v>1330110550</v>
      </c>
      <c r="B320" s="86"/>
      <c r="C320" s="87" t="s">
        <v>278</v>
      </c>
      <c r="D320" s="36">
        <f>D321</f>
        <v>375.4</v>
      </c>
      <c r="E320" s="36">
        <f t="shared" si="132"/>
        <v>385.3</v>
      </c>
      <c r="F320" s="36">
        <f t="shared" si="132"/>
        <v>389.3</v>
      </c>
    </row>
    <row r="321" spans="1:6" ht="31.5">
      <c r="A321" s="88">
        <v>1330110550</v>
      </c>
      <c r="B321" s="88" t="s">
        <v>72</v>
      </c>
      <c r="C321" s="87" t="s">
        <v>102</v>
      </c>
      <c r="D321" s="36">
        <f>D322</f>
        <v>375.4</v>
      </c>
      <c r="E321" s="36">
        <f t="shared" si="132"/>
        <v>385.3</v>
      </c>
      <c r="F321" s="36">
        <f t="shared" si="132"/>
        <v>389.3</v>
      </c>
    </row>
    <row r="322" spans="1:6" ht="31.5">
      <c r="A322" s="88">
        <v>1330110550</v>
      </c>
      <c r="B322" s="86">
        <v>240</v>
      </c>
      <c r="C322" s="87" t="s">
        <v>315</v>
      </c>
      <c r="D322" s="36">
        <f>'№ 6'!E200</f>
        <v>375.4</v>
      </c>
      <c r="E322" s="36">
        <f>'№ 6'!F200</f>
        <v>385.3</v>
      </c>
      <c r="F322" s="36">
        <f>'№ 6'!G200</f>
        <v>389.3</v>
      </c>
    </row>
    <row r="323" spans="1:6" ht="47.25">
      <c r="A323" s="88">
        <v>1330200000</v>
      </c>
      <c r="B323" s="86"/>
      <c r="C323" s="87" t="s">
        <v>268</v>
      </c>
      <c r="D323" s="36">
        <f>D324</f>
        <v>158.9</v>
      </c>
      <c r="E323" s="36">
        <f t="shared" ref="E323:F325" si="133">E324</f>
        <v>156.9</v>
      </c>
      <c r="F323" s="36">
        <f t="shared" si="133"/>
        <v>304</v>
      </c>
    </row>
    <row r="324" spans="1:6">
      <c r="A324" s="88">
        <v>1330220090</v>
      </c>
      <c r="B324" s="86"/>
      <c r="C324" s="87" t="s">
        <v>149</v>
      </c>
      <c r="D324" s="36">
        <f>D325</f>
        <v>158.9</v>
      </c>
      <c r="E324" s="36">
        <f t="shared" si="133"/>
        <v>156.9</v>
      </c>
      <c r="F324" s="36">
        <f t="shared" si="133"/>
        <v>304</v>
      </c>
    </row>
    <row r="325" spans="1:6" ht="31.5">
      <c r="A325" s="88">
        <v>1330220090</v>
      </c>
      <c r="B325" s="88" t="s">
        <v>72</v>
      </c>
      <c r="C325" s="87" t="s">
        <v>102</v>
      </c>
      <c r="D325" s="36">
        <f>D326</f>
        <v>158.9</v>
      </c>
      <c r="E325" s="36">
        <f t="shared" si="133"/>
        <v>156.9</v>
      </c>
      <c r="F325" s="36">
        <f t="shared" si="133"/>
        <v>304</v>
      </c>
    </row>
    <row r="326" spans="1:6" ht="31.5">
      <c r="A326" s="88">
        <v>1330220090</v>
      </c>
      <c r="B326" s="86">
        <v>240</v>
      </c>
      <c r="C326" s="87" t="s">
        <v>315</v>
      </c>
      <c r="D326" s="36">
        <f>'№ 6'!E335</f>
        <v>158.9</v>
      </c>
      <c r="E326" s="36">
        <f>'№ 6'!F335</f>
        <v>156.9</v>
      </c>
      <c r="F326" s="36">
        <f>'№ 6'!G335</f>
        <v>304</v>
      </c>
    </row>
    <row r="327" spans="1:6" ht="47.25">
      <c r="A327" s="27">
        <v>1400000000</v>
      </c>
      <c r="B327" s="86"/>
      <c r="C327" s="55" t="s">
        <v>224</v>
      </c>
      <c r="D327" s="35">
        <f>D328+D353</f>
        <v>169313.9</v>
      </c>
      <c r="E327" s="35">
        <f>E328+E353</f>
        <v>15143.7</v>
      </c>
      <c r="F327" s="35">
        <f>F328+F353</f>
        <v>18490</v>
      </c>
    </row>
    <row r="328" spans="1:6">
      <c r="A328" s="88">
        <v>1410000000</v>
      </c>
      <c r="B328" s="86"/>
      <c r="C328" s="87" t="s">
        <v>137</v>
      </c>
      <c r="D328" s="36">
        <f>D329+D333+D343</f>
        <v>165034.29999999999</v>
      </c>
      <c r="E328" s="36">
        <f t="shared" ref="E328:F328" si="134">E329+E333+E343</f>
        <v>14543.7</v>
      </c>
      <c r="F328" s="36">
        <f t="shared" si="134"/>
        <v>18490</v>
      </c>
    </row>
    <row r="329" spans="1:6">
      <c r="A329" s="88">
        <v>1410100000</v>
      </c>
      <c r="B329" s="24"/>
      <c r="C329" s="87" t="s">
        <v>225</v>
      </c>
      <c r="D329" s="36">
        <f>D330</f>
        <v>23549.1</v>
      </c>
      <c r="E329" s="36">
        <f t="shared" ref="E329:F331" si="135">E330</f>
        <v>14543.7</v>
      </c>
      <c r="F329" s="36">
        <f t="shared" si="135"/>
        <v>18490</v>
      </c>
    </row>
    <row r="330" spans="1:6" ht="31.5">
      <c r="A330" s="86">
        <v>1410120100</v>
      </c>
      <c r="B330" s="86"/>
      <c r="C330" s="87" t="s">
        <v>138</v>
      </c>
      <c r="D330" s="36">
        <f>D331</f>
        <v>23549.1</v>
      </c>
      <c r="E330" s="36">
        <f t="shared" si="135"/>
        <v>14543.7</v>
      </c>
      <c r="F330" s="36">
        <f t="shared" si="135"/>
        <v>18490</v>
      </c>
    </row>
    <row r="331" spans="1:6" ht="31.5">
      <c r="A331" s="86">
        <v>1410120100</v>
      </c>
      <c r="B331" s="88" t="s">
        <v>72</v>
      </c>
      <c r="C331" s="87" t="s">
        <v>102</v>
      </c>
      <c r="D331" s="36">
        <f>D332</f>
        <v>23549.1</v>
      </c>
      <c r="E331" s="36">
        <f t="shared" si="135"/>
        <v>14543.7</v>
      </c>
      <c r="F331" s="36">
        <f t="shared" si="135"/>
        <v>18490</v>
      </c>
    </row>
    <row r="332" spans="1:6" ht="31.5">
      <c r="A332" s="86">
        <v>1410120100</v>
      </c>
      <c r="B332" s="86">
        <v>240</v>
      </c>
      <c r="C332" s="87" t="s">
        <v>315</v>
      </c>
      <c r="D332" s="36">
        <f>'№ 6'!E207</f>
        <v>23549.1</v>
      </c>
      <c r="E332" s="36">
        <f>'№ 6'!F207</f>
        <v>14543.7</v>
      </c>
      <c r="F332" s="36">
        <f>'№ 6'!G207</f>
        <v>18490</v>
      </c>
    </row>
    <row r="333" spans="1:6" ht="47.25">
      <c r="A333" s="88">
        <v>1410200000</v>
      </c>
      <c r="B333" s="86"/>
      <c r="C333" s="87" t="s">
        <v>226</v>
      </c>
      <c r="D333" s="36">
        <f>D340+D337+D334</f>
        <v>133243.79999999999</v>
      </c>
      <c r="E333" s="36">
        <f t="shared" ref="E333:F333" si="136">E340+E337+E334</f>
        <v>0</v>
      </c>
      <c r="F333" s="36">
        <f t="shared" si="136"/>
        <v>0</v>
      </c>
    </row>
    <row r="334" spans="1:6" ht="31.5">
      <c r="A334" s="86">
        <v>1410211050</v>
      </c>
      <c r="B334" s="86"/>
      <c r="C334" s="87" t="s">
        <v>376</v>
      </c>
      <c r="D334" s="36">
        <f>D335</f>
        <v>92665.299999999974</v>
      </c>
      <c r="E334" s="36">
        <f t="shared" ref="E334:F335" si="137">E335</f>
        <v>0</v>
      </c>
      <c r="F334" s="36">
        <f t="shared" si="137"/>
        <v>0</v>
      </c>
    </row>
    <row r="335" spans="1:6" ht="31.5">
      <c r="A335" s="86">
        <v>1410211050</v>
      </c>
      <c r="B335" s="88" t="s">
        <v>72</v>
      </c>
      <c r="C335" s="87" t="s">
        <v>102</v>
      </c>
      <c r="D335" s="36">
        <f>D336</f>
        <v>92665.299999999974</v>
      </c>
      <c r="E335" s="36">
        <f t="shared" si="137"/>
        <v>0</v>
      </c>
      <c r="F335" s="36">
        <f t="shared" si="137"/>
        <v>0</v>
      </c>
    </row>
    <row r="336" spans="1:6" ht="31.5">
      <c r="A336" s="86">
        <v>1410211050</v>
      </c>
      <c r="B336" s="86">
        <v>240</v>
      </c>
      <c r="C336" s="87" t="s">
        <v>315</v>
      </c>
      <c r="D336" s="36">
        <f>'№ 6'!E211</f>
        <v>92665.299999999974</v>
      </c>
      <c r="E336" s="36">
        <f>'№ 6'!F211</f>
        <v>0</v>
      </c>
      <c r="F336" s="36">
        <f>'№ 6'!G211</f>
        <v>0</v>
      </c>
    </row>
    <row r="337" spans="1:6">
      <c r="A337" s="86">
        <v>1410220110</v>
      </c>
      <c r="B337" s="86"/>
      <c r="C337" s="66" t="s">
        <v>355</v>
      </c>
      <c r="D337" s="36">
        <f>D338</f>
        <v>499.59999999999997</v>
      </c>
      <c r="E337" s="36">
        <f t="shared" ref="E337:F338" si="138">E338</f>
        <v>0</v>
      </c>
      <c r="F337" s="36">
        <f t="shared" si="138"/>
        <v>0</v>
      </c>
    </row>
    <row r="338" spans="1:6" ht="31.5">
      <c r="A338" s="86">
        <v>1410220110</v>
      </c>
      <c r="B338" s="88" t="s">
        <v>72</v>
      </c>
      <c r="C338" s="66" t="s">
        <v>102</v>
      </c>
      <c r="D338" s="36">
        <f>D339</f>
        <v>499.59999999999997</v>
      </c>
      <c r="E338" s="36">
        <f t="shared" si="138"/>
        <v>0</v>
      </c>
      <c r="F338" s="36">
        <f t="shared" si="138"/>
        <v>0</v>
      </c>
    </row>
    <row r="339" spans="1:6" ht="31.5">
      <c r="A339" s="86">
        <v>1410220110</v>
      </c>
      <c r="B339" s="86">
        <v>240</v>
      </c>
      <c r="C339" s="66" t="s">
        <v>315</v>
      </c>
      <c r="D339" s="36">
        <f>'№ 6'!E214</f>
        <v>499.59999999999997</v>
      </c>
      <c r="E339" s="36">
        <f>'№ 6'!F214</f>
        <v>0</v>
      </c>
      <c r="F339" s="36">
        <f>'№ 6'!G214</f>
        <v>0</v>
      </c>
    </row>
    <row r="340" spans="1:6" ht="31.5">
      <c r="A340" s="86" t="s">
        <v>286</v>
      </c>
      <c r="B340" s="86"/>
      <c r="C340" s="87" t="s">
        <v>285</v>
      </c>
      <c r="D340" s="36">
        <f>D341</f>
        <v>40078.9</v>
      </c>
      <c r="E340" s="36">
        <f t="shared" ref="E340:F341" si="139">E341</f>
        <v>0</v>
      </c>
      <c r="F340" s="36">
        <f t="shared" si="139"/>
        <v>0</v>
      </c>
    </row>
    <row r="341" spans="1:6" ht="31.5">
      <c r="A341" s="86" t="s">
        <v>286</v>
      </c>
      <c r="B341" s="88" t="s">
        <v>72</v>
      </c>
      <c r="C341" s="87" t="s">
        <v>102</v>
      </c>
      <c r="D341" s="36">
        <f>D342</f>
        <v>40078.9</v>
      </c>
      <c r="E341" s="36">
        <f t="shared" si="139"/>
        <v>0</v>
      </c>
      <c r="F341" s="36">
        <f t="shared" si="139"/>
        <v>0</v>
      </c>
    </row>
    <row r="342" spans="1:6" ht="31.5">
      <c r="A342" s="86" t="s">
        <v>286</v>
      </c>
      <c r="B342" s="86">
        <v>240</v>
      </c>
      <c r="C342" s="87" t="s">
        <v>315</v>
      </c>
      <c r="D342" s="36">
        <f>'№ 6'!E217</f>
        <v>40078.9</v>
      </c>
      <c r="E342" s="36">
        <f>'№ 6'!F217</f>
        <v>0</v>
      </c>
      <c r="F342" s="36">
        <f>'№ 6'!G217</f>
        <v>0</v>
      </c>
    </row>
    <row r="343" spans="1:6" ht="47.25">
      <c r="A343" s="86">
        <v>1410300000</v>
      </c>
      <c r="B343" s="86"/>
      <c r="C343" s="87" t="s">
        <v>357</v>
      </c>
      <c r="D343" s="36">
        <f>D350+D344+D347</f>
        <v>8241.4</v>
      </c>
      <c r="E343" s="36">
        <f t="shared" ref="E343:F343" si="140">E350+E344+E347</f>
        <v>0</v>
      </c>
      <c r="F343" s="36">
        <f t="shared" si="140"/>
        <v>0</v>
      </c>
    </row>
    <row r="344" spans="1:6" ht="47.25">
      <c r="A344" s="86">
        <v>1410311020</v>
      </c>
      <c r="B344" s="86"/>
      <c r="C344" s="87" t="s">
        <v>377</v>
      </c>
      <c r="D344" s="21">
        <f>D345</f>
        <v>5726.2</v>
      </c>
      <c r="E344" s="21">
        <f t="shared" ref="E344:F345" si="141">E345</f>
        <v>0</v>
      </c>
      <c r="F344" s="21">
        <f t="shared" si="141"/>
        <v>0</v>
      </c>
    </row>
    <row r="345" spans="1:6" ht="31.5">
      <c r="A345" s="86">
        <v>1410311020</v>
      </c>
      <c r="B345" s="88" t="s">
        <v>72</v>
      </c>
      <c r="C345" s="87" t="s">
        <v>102</v>
      </c>
      <c r="D345" s="21">
        <f>D346</f>
        <v>5726.2</v>
      </c>
      <c r="E345" s="21">
        <f t="shared" si="141"/>
        <v>0</v>
      </c>
      <c r="F345" s="21">
        <f t="shared" si="141"/>
        <v>0</v>
      </c>
    </row>
    <row r="346" spans="1:6" ht="31.5">
      <c r="A346" s="86">
        <v>1410311020</v>
      </c>
      <c r="B346" s="86">
        <v>240</v>
      </c>
      <c r="C346" s="87" t="s">
        <v>315</v>
      </c>
      <c r="D346" s="21">
        <f>'№ 6'!E221</f>
        <v>5726.2</v>
      </c>
      <c r="E346" s="21">
        <f>'№ 6'!F221</f>
        <v>0</v>
      </c>
      <c r="F346" s="21">
        <f>'№ 6'!G221</f>
        <v>0</v>
      </c>
    </row>
    <row r="347" spans="1:6">
      <c r="A347" s="86">
        <v>1410320110</v>
      </c>
      <c r="B347" s="86"/>
      <c r="C347" s="66" t="s">
        <v>355</v>
      </c>
      <c r="D347" s="21">
        <f>D348</f>
        <v>99.9</v>
      </c>
      <c r="E347" s="21">
        <f t="shared" ref="E347:F348" si="142">E348</f>
        <v>0</v>
      </c>
      <c r="F347" s="21">
        <f t="shared" si="142"/>
        <v>0</v>
      </c>
    </row>
    <row r="348" spans="1:6" ht="31.5">
      <c r="A348" s="86">
        <v>1410320110</v>
      </c>
      <c r="B348" s="88" t="s">
        <v>72</v>
      </c>
      <c r="C348" s="87" t="s">
        <v>102</v>
      </c>
      <c r="D348" s="21">
        <f>D349</f>
        <v>99.9</v>
      </c>
      <c r="E348" s="21">
        <f t="shared" si="142"/>
        <v>0</v>
      </c>
      <c r="F348" s="21">
        <f t="shared" si="142"/>
        <v>0</v>
      </c>
    </row>
    <row r="349" spans="1:6" ht="31.5">
      <c r="A349" s="86">
        <v>1410320110</v>
      </c>
      <c r="B349" s="86">
        <v>240</v>
      </c>
      <c r="C349" s="87" t="s">
        <v>315</v>
      </c>
      <c r="D349" s="21">
        <f>'№ 6'!E224</f>
        <v>99.9</v>
      </c>
      <c r="E349" s="21">
        <f>'№ 6'!F224</f>
        <v>0</v>
      </c>
      <c r="F349" s="21">
        <f>'№ 6'!G224</f>
        <v>0</v>
      </c>
    </row>
    <row r="350" spans="1:6" ht="47.25">
      <c r="A350" s="86" t="s">
        <v>358</v>
      </c>
      <c r="B350" s="86"/>
      <c r="C350" s="87" t="s">
        <v>359</v>
      </c>
      <c r="D350" s="36">
        <f>D351</f>
        <v>2415.3000000000002</v>
      </c>
      <c r="E350" s="36">
        <f t="shared" ref="E350:F351" si="143">E351</f>
        <v>0</v>
      </c>
      <c r="F350" s="36">
        <f t="shared" si="143"/>
        <v>0</v>
      </c>
    </row>
    <row r="351" spans="1:6" ht="31.5">
      <c r="A351" s="86" t="s">
        <v>358</v>
      </c>
      <c r="B351" s="88" t="s">
        <v>72</v>
      </c>
      <c r="C351" s="87" t="s">
        <v>102</v>
      </c>
      <c r="D351" s="36">
        <f>D352</f>
        <v>2415.3000000000002</v>
      </c>
      <c r="E351" s="36">
        <f t="shared" si="143"/>
        <v>0</v>
      </c>
      <c r="F351" s="36">
        <f t="shared" si="143"/>
        <v>0</v>
      </c>
    </row>
    <row r="352" spans="1:6" ht="31.5">
      <c r="A352" s="86" t="s">
        <v>358</v>
      </c>
      <c r="B352" s="86">
        <v>240</v>
      </c>
      <c r="C352" s="87" t="s">
        <v>315</v>
      </c>
      <c r="D352" s="36">
        <f>'№ 6'!E227</f>
        <v>2415.3000000000002</v>
      </c>
      <c r="E352" s="36">
        <f>'№ 6'!F227</f>
        <v>0</v>
      </c>
      <c r="F352" s="36">
        <f>'№ 6'!G227</f>
        <v>0</v>
      </c>
    </row>
    <row r="353" spans="1:6">
      <c r="A353" s="88">
        <v>1420000000</v>
      </c>
      <c r="B353" s="86"/>
      <c r="C353" s="87" t="s">
        <v>139</v>
      </c>
      <c r="D353" s="36">
        <f>D354+D368+D361</f>
        <v>4279.6000000000004</v>
      </c>
      <c r="E353" s="36">
        <f t="shared" ref="E353:F353" si="144">E354+E368+E361</f>
        <v>600</v>
      </c>
      <c r="F353" s="36">
        <f t="shared" si="144"/>
        <v>0</v>
      </c>
    </row>
    <row r="354" spans="1:6" ht="31.5">
      <c r="A354" s="88">
        <v>1420100000</v>
      </c>
      <c r="B354" s="86"/>
      <c r="C354" s="87" t="s">
        <v>227</v>
      </c>
      <c r="D354" s="36">
        <f>D355+D358</f>
        <v>1220.1000000000001</v>
      </c>
      <c r="E354" s="36">
        <f t="shared" ref="E354:F354" si="145">E355+E358</f>
        <v>600</v>
      </c>
      <c r="F354" s="36">
        <f t="shared" si="145"/>
        <v>0</v>
      </c>
    </row>
    <row r="355" spans="1:6" ht="47.25">
      <c r="A355" s="86">
        <v>1420120110</v>
      </c>
      <c r="B355" s="86"/>
      <c r="C355" s="87" t="s">
        <v>412</v>
      </c>
      <c r="D355" s="21">
        <f>D356</f>
        <v>123.4</v>
      </c>
      <c r="E355" s="21">
        <f t="shared" ref="E355:F356" si="146">E356</f>
        <v>0</v>
      </c>
      <c r="F355" s="21">
        <f t="shared" si="146"/>
        <v>0</v>
      </c>
    </row>
    <row r="356" spans="1:6" ht="31.5">
      <c r="A356" s="86">
        <v>1420120110</v>
      </c>
      <c r="B356" s="88" t="s">
        <v>72</v>
      </c>
      <c r="C356" s="87" t="s">
        <v>102</v>
      </c>
      <c r="D356" s="21">
        <f>D357</f>
        <v>123.4</v>
      </c>
      <c r="E356" s="21">
        <f t="shared" si="146"/>
        <v>0</v>
      </c>
      <c r="F356" s="21">
        <f t="shared" si="146"/>
        <v>0</v>
      </c>
    </row>
    <row r="357" spans="1:6" ht="31.5">
      <c r="A357" s="86">
        <v>1420120110</v>
      </c>
      <c r="B357" s="86">
        <v>240</v>
      </c>
      <c r="C357" s="87" t="s">
        <v>315</v>
      </c>
      <c r="D357" s="21">
        <f>'№ 6'!E232</f>
        <v>123.4</v>
      </c>
      <c r="E357" s="21">
        <f>'№ 6'!F232</f>
        <v>0</v>
      </c>
      <c r="F357" s="21">
        <f>'№ 6'!G232</f>
        <v>0</v>
      </c>
    </row>
    <row r="358" spans="1:6">
      <c r="A358" s="86">
        <v>1420120120</v>
      </c>
      <c r="B358" s="86"/>
      <c r="C358" s="87" t="s">
        <v>140</v>
      </c>
      <c r="D358" s="36">
        <f>D359</f>
        <v>1096.7</v>
      </c>
      <c r="E358" s="36">
        <f t="shared" ref="E358:F359" si="147">E359</f>
        <v>600</v>
      </c>
      <c r="F358" s="36">
        <f t="shared" si="147"/>
        <v>0</v>
      </c>
    </row>
    <row r="359" spans="1:6" ht="31.5">
      <c r="A359" s="86">
        <v>1420120120</v>
      </c>
      <c r="B359" s="88" t="s">
        <v>72</v>
      </c>
      <c r="C359" s="87" t="s">
        <v>102</v>
      </c>
      <c r="D359" s="36">
        <f>D360</f>
        <v>1096.7</v>
      </c>
      <c r="E359" s="36">
        <f t="shared" si="147"/>
        <v>600</v>
      </c>
      <c r="F359" s="36">
        <f t="shared" si="147"/>
        <v>0</v>
      </c>
    </row>
    <row r="360" spans="1:6" ht="31.5">
      <c r="A360" s="86">
        <v>1420120120</v>
      </c>
      <c r="B360" s="86">
        <v>240</v>
      </c>
      <c r="C360" s="87" t="s">
        <v>315</v>
      </c>
      <c r="D360" s="36">
        <f>'№ 6'!E235</f>
        <v>1096.7</v>
      </c>
      <c r="E360" s="36">
        <f>'№ 6'!F235</f>
        <v>600</v>
      </c>
      <c r="F360" s="36">
        <f>'№ 6'!G235</f>
        <v>0</v>
      </c>
    </row>
    <row r="361" spans="1:6" ht="47.25">
      <c r="A361" s="93" t="s">
        <v>426</v>
      </c>
      <c r="B361" s="93"/>
      <c r="C361" s="94" t="s">
        <v>427</v>
      </c>
      <c r="D361" s="36">
        <f>D362+D365</f>
        <v>2859.7</v>
      </c>
      <c r="E361" s="36">
        <f>E362+E365</f>
        <v>0</v>
      </c>
      <c r="F361" s="36">
        <f>F362+F365</f>
        <v>0</v>
      </c>
    </row>
    <row r="362" spans="1:6" ht="47.25">
      <c r="A362" s="86" t="s">
        <v>421</v>
      </c>
      <c r="B362" s="86"/>
      <c r="C362" s="87" t="s">
        <v>378</v>
      </c>
      <c r="D362" s="21">
        <f>D363</f>
        <v>2642</v>
      </c>
      <c r="E362" s="21">
        <f t="shared" ref="E362:F363" si="148">E363</f>
        <v>0</v>
      </c>
      <c r="F362" s="21">
        <f t="shared" si="148"/>
        <v>0</v>
      </c>
    </row>
    <row r="363" spans="1:6" ht="31.5">
      <c r="A363" s="86" t="s">
        <v>421</v>
      </c>
      <c r="B363" s="88" t="s">
        <v>72</v>
      </c>
      <c r="C363" s="87" t="s">
        <v>102</v>
      </c>
      <c r="D363" s="21">
        <f>D364</f>
        <v>2642</v>
      </c>
      <c r="E363" s="21">
        <f t="shared" si="148"/>
        <v>0</v>
      </c>
      <c r="F363" s="21">
        <f t="shared" si="148"/>
        <v>0</v>
      </c>
    </row>
    <row r="364" spans="1:6" ht="31.5">
      <c r="A364" s="86" t="s">
        <v>421</v>
      </c>
      <c r="B364" s="86">
        <v>240</v>
      </c>
      <c r="C364" s="87" t="s">
        <v>315</v>
      </c>
      <c r="D364" s="21">
        <f>'№ 6'!E239</f>
        <v>2642</v>
      </c>
      <c r="E364" s="21">
        <f>'№ 6'!F239</f>
        <v>0</v>
      </c>
      <c r="F364" s="21">
        <f>'№ 6'!G239</f>
        <v>0</v>
      </c>
    </row>
    <row r="365" spans="1:6" ht="47.25">
      <c r="A365" s="86" t="s">
        <v>422</v>
      </c>
      <c r="B365" s="86"/>
      <c r="C365" s="87" t="s">
        <v>356</v>
      </c>
      <c r="D365" s="36">
        <f>D366</f>
        <v>217.7</v>
      </c>
      <c r="E365" s="36">
        <f t="shared" ref="E365:F366" si="149">E366</f>
        <v>0</v>
      </c>
      <c r="F365" s="36">
        <f t="shared" si="149"/>
        <v>0</v>
      </c>
    </row>
    <row r="366" spans="1:6" ht="31.5">
      <c r="A366" s="86" t="s">
        <v>422</v>
      </c>
      <c r="B366" s="88" t="s">
        <v>72</v>
      </c>
      <c r="C366" s="87" t="s">
        <v>102</v>
      </c>
      <c r="D366" s="36">
        <f>D367</f>
        <v>217.7</v>
      </c>
      <c r="E366" s="36">
        <f t="shared" si="149"/>
        <v>0</v>
      </c>
      <c r="F366" s="36">
        <f t="shared" si="149"/>
        <v>0</v>
      </c>
    </row>
    <row r="367" spans="1:6" ht="31.5">
      <c r="A367" s="86" t="s">
        <v>422</v>
      </c>
      <c r="B367" s="86">
        <v>240</v>
      </c>
      <c r="C367" s="87" t="s">
        <v>315</v>
      </c>
      <c r="D367" s="36">
        <f>'№ 6'!E242</f>
        <v>217.7</v>
      </c>
      <c r="E367" s="36">
        <f>'№ 6'!F242</f>
        <v>0</v>
      </c>
      <c r="F367" s="36">
        <f>'№ 6'!G242</f>
        <v>0</v>
      </c>
    </row>
    <row r="368" spans="1:6" ht="31.5">
      <c r="A368" s="86">
        <v>1420200000</v>
      </c>
      <c r="B368" s="86"/>
      <c r="C368" s="87" t="s">
        <v>390</v>
      </c>
      <c r="D368" s="36">
        <f>D369</f>
        <v>199.8</v>
      </c>
      <c r="E368" s="36">
        <f t="shared" ref="E368:F370" si="150">E369</f>
        <v>0</v>
      </c>
      <c r="F368" s="36">
        <f t="shared" si="150"/>
        <v>0</v>
      </c>
    </row>
    <row r="369" spans="1:6">
      <c r="A369" s="86">
        <v>1420220130</v>
      </c>
      <c r="B369" s="86"/>
      <c r="C369" s="87" t="s">
        <v>391</v>
      </c>
      <c r="D369" s="36">
        <f>D370</f>
        <v>199.8</v>
      </c>
      <c r="E369" s="36">
        <f t="shared" si="150"/>
        <v>0</v>
      </c>
      <c r="F369" s="36">
        <f t="shared" si="150"/>
        <v>0</v>
      </c>
    </row>
    <row r="370" spans="1:6" ht="31.5">
      <c r="A370" s="86">
        <v>1420220130</v>
      </c>
      <c r="B370" s="88" t="s">
        <v>72</v>
      </c>
      <c r="C370" s="87" t="s">
        <v>102</v>
      </c>
      <c r="D370" s="36">
        <f>D371</f>
        <v>199.8</v>
      </c>
      <c r="E370" s="36">
        <f t="shared" si="150"/>
        <v>0</v>
      </c>
      <c r="F370" s="36">
        <f t="shared" si="150"/>
        <v>0</v>
      </c>
    </row>
    <row r="371" spans="1:6" ht="31.5">
      <c r="A371" s="86">
        <v>1420220130</v>
      </c>
      <c r="B371" s="86">
        <v>240</v>
      </c>
      <c r="C371" s="87" t="s">
        <v>315</v>
      </c>
      <c r="D371" s="36">
        <f>'№ 6'!E246</f>
        <v>199.8</v>
      </c>
      <c r="E371" s="36">
        <f>'№ 6'!F246</f>
        <v>0</v>
      </c>
      <c r="F371" s="36">
        <f>'№ 6'!G246</f>
        <v>0</v>
      </c>
    </row>
    <row r="372" spans="1:6" ht="31.5">
      <c r="A372" s="27">
        <v>1500000000</v>
      </c>
      <c r="B372" s="15"/>
      <c r="C372" s="55" t="s">
        <v>217</v>
      </c>
      <c r="D372" s="35">
        <f>D373+D386</f>
        <v>8367.1999999999989</v>
      </c>
      <c r="E372" s="35">
        <f>E373+E386</f>
        <v>7530.9</v>
      </c>
      <c r="F372" s="35">
        <f>F373+F386</f>
        <v>7419.5</v>
      </c>
    </row>
    <row r="373" spans="1:6">
      <c r="A373" s="86">
        <v>1510000000</v>
      </c>
      <c r="B373" s="86"/>
      <c r="C373" s="87" t="s">
        <v>183</v>
      </c>
      <c r="D373" s="36">
        <f>D374+D378</f>
        <v>7513.2999999999993</v>
      </c>
      <c r="E373" s="36">
        <f>E374+E378</f>
        <v>7530.9</v>
      </c>
      <c r="F373" s="36">
        <f>F374+F378</f>
        <v>7419.5</v>
      </c>
    </row>
    <row r="374" spans="1:6" ht="47.25">
      <c r="A374" s="86">
        <v>1510100000</v>
      </c>
      <c r="B374" s="86"/>
      <c r="C374" s="87" t="s">
        <v>220</v>
      </c>
      <c r="D374" s="36">
        <f>D375</f>
        <v>7398.9</v>
      </c>
      <c r="E374" s="36">
        <f t="shared" ref="E374:F374" si="151">E375</f>
        <v>7419.5</v>
      </c>
      <c r="F374" s="36">
        <f t="shared" si="151"/>
        <v>7419.5</v>
      </c>
    </row>
    <row r="375" spans="1:6" ht="31.5">
      <c r="A375" s="86">
        <v>1510120010</v>
      </c>
      <c r="B375" s="86"/>
      <c r="C375" s="87" t="s">
        <v>135</v>
      </c>
      <c r="D375" s="36">
        <f>D376</f>
        <v>7398.9</v>
      </c>
      <c r="E375" s="36">
        <f t="shared" ref="E375:F376" si="152">E376</f>
        <v>7419.5</v>
      </c>
      <c r="F375" s="36">
        <f t="shared" si="152"/>
        <v>7419.5</v>
      </c>
    </row>
    <row r="376" spans="1:6" ht="31.5">
      <c r="A376" s="86">
        <v>1510120010</v>
      </c>
      <c r="B376" s="86">
        <v>600</v>
      </c>
      <c r="C376" s="87" t="s">
        <v>87</v>
      </c>
      <c r="D376" s="36">
        <f>D377</f>
        <v>7398.9</v>
      </c>
      <c r="E376" s="36">
        <f t="shared" si="152"/>
        <v>7419.5</v>
      </c>
      <c r="F376" s="36">
        <f t="shared" si="152"/>
        <v>7419.5</v>
      </c>
    </row>
    <row r="377" spans="1:6">
      <c r="A377" s="86">
        <v>1510120010</v>
      </c>
      <c r="B377" s="86">
        <v>610</v>
      </c>
      <c r="C377" s="87" t="s">
        <v>115</v>
      </c>
      <c r="D377" s="36">
        <f>'№ 6'!E185</f>
        <v>7398.9</v>
      </c>
      <c r="E377" s="36">
        <f>'№ 6'!F185</f>
        <v>7419.5</v>
      </c>
      <c r="F377" s="36">
        <f>'№ 6'!G185</f>
        <v>7419.5</v>
      </c>
    </row>
    <row r="378" spans="1:6" ht="47.25">
      <c r="A378" s="86">
        <v>1510200000</v>
      </c>
      <c r="B378" s="86"/>
      <c r="C378" s="87" t="s">
        <v>218</v>
      </c>
      <c r="D378" s="36">
        <f>D379+D382</f>
        <v>114.4</v>
      </c>
      <c r="E378" s="36">
        <f t="shared" ref="E378:F378" si="153">E379+E382</f>
        <v>111.4</v>
      </c>
      <c r="F378" s="36">
        <f t="shared" si="153"/>
        <v>0</v>
      </c>
    </row>
    <row r="379" spans="1:6" ht="31.5">
      <c r="A379" s="86">
        <v>1510220170</v>
      </c>
      <c r="B379" s="86"/>
      <c r="C379" s="87" t="s">
        <v>219</v>
      </c>
      <c r="D379" s="36">
        <f>D380</f>
        <v>111.4</v>
      </c>
      <c r="E379" s="36">
        <f t="shared" ref="E379:F380" si="154">E380</f>
        <v>111.4</v>
      </c>
      <c r="F379" s="36">
        <f t="shared" si="154"/>
        <v>0</v>
      </c>
    </row>
    <row r="380" spans="1:6">
      <c r="A380" s="86">
        <v>1510220170</v>
      </c>
      <c r="B380" s="88" t="s">
        <v>76</v>
      </c>
      <c r="C380" s="87" t="s">
        <v>77</v>
      </c>
      <c r="D380" s="36">
        <f>D381</f>
        <v>111.4</v>
      </c>
      <c r="E380" s="36">
        <f t="shared" si="154"/>
        <v>111.4</v>
      </c>
      <c r="F380" s="36">
        <f t="shared" si="154"/>
        <v>0</v>
      </c>
    </row>
    <row r="381" spans="1:6">
      <c r="A381" s="86">
        <v>1510220170</v>
      </c>
      <c r="B381" s="1" t="s">
        <v>185</v>
      </c>
      <c r="C381" s="57" t="s">
        <v>184</v>
      </c>
      <c r="D381" s="36">
        <f>'№ 5'!F76</f>
        <v>111.4</v>
      </c>
      <c r="E381" s="36">
        <f>'№ 5'!G76</f>
        <v>111.4</v>
      </c>
      <c r="F381" s="36">
        <f>'№ 5'!H76</f>
        <v>0</v>
      </c>
    </row>
    <row r="382" spans="1:6">
      <c r="A382" s="128">
        <v>1510300000</v>
      </c>
      <c r="B382" s="1"/>
      <c r="C382" s="129" t="s">
        <v>478</v>
      </c>
      <c r="D382" s="36">
        <f>D383</f>
        <v>3</v>
      </c>
      <c r="E382" s="36">
        <f t="shared" ref="E382:F384" si="155">E383</f>
        <v>0</v>
      </c>
      <c r="F382" s="36">
        <f t="shared" si="155"/>
        <v>0</v>
      </c>
    </row>
    <row r="383" spans="1:6" ht="31.5">
      <c r="A383" s="128">
        <v>1510320190</v>
      </c>
      <c r="B383" s="1"/>
      <c r="C383" s="129" t="s">
        <v>479</v>
      </c>
      <c r="D383" s="36">
        <f>D384</f>
        <v>3</v>
      </c>
      <c r="E383" s="36">
        <f t="shared" si="155"/>
        <v>0</v>
      </c>
      <c r="F383" s="36">
        <f t="shared" si="155"/>
        <v>0</v>
      </c>
    </row>
    <row r="384" spans="1:6" ht="31.5">
      <c r="A384" s="128">
        <v>1510320190</v>
      </c>
      <c r="B384" s="130" t="s">
        <v>72</v>
      </c>
      <c r="C384" s="129" t="s">
        <v>102</v>
      </c>
      <c r="D384" s="36">
        <f>D385</f>
        <v>3</v>
      </c>
      <c r="E384" s="36">
        <f t="shared" si="155"/>
        <v>0</v>
      </c>
      <c r="F384" s="36">
        <f t="shared" si="155"/>
        <v>0</v>
      </c>
    </row>
    <row r="385" spans="1:6" ht="31.5">
      <c r="A385" s="128">
        <v>1510320190</v>
      </c>
      <c r="B385" s="128">
        <v>240</v>
      </c>
      <c r="C385" s="129" t="s">
        <v>315</v>
      </c>
      <c r="D385" s="36">
        <f>'№ 6'!E108</f>
        <v>3</v>
      </c>
      <c r="E385" s="36">
        <f>'№ 6'!F108</f>
        <v>0</v>
      </c>
      <c r="F385" s="36">
        <f>'№ 6'!G108</f>
        <v>0</v>
      </c>
    </row>
    <row r="386" spans="1:6" ht="16.5" customHeight="1">
      <c r="A386" s="88">
        <v>1520000000</v>
      </c>
      <c r="B386" s="86"/>
      <c r="C386" s="66" t="s">
        <v>360</v>
      </c>
      <c r="D386" s="36">
        <f>D387+D397</f>
        <v>853.9</v>
      </c>
      <c r="E386" s="36">
        <f>E387+E397</f>
        <v>0</v>
      </c>
      <c r="F386" s="36">
        <f>F387+F397</f>
        <v>0</v>
      </c>
    </row>
    <row r="387" spans="1:6" ht="63">
      <c r="A387" s="86">
        <v>1520100000</v>
      </c>
      <c r="B387" s="86"/>
      <c r="C387" s="66" t="s">
        <v>361</v>
      </c>
      <c r="D387" s="36">
        <f>D391+D388+D394</f>
        <v>563.4</v>
      </c>
      <c r="E387" s="36">
        <f t="shared" ref="E387:F387" si="156">E391+E388+E394</f>
        <v>0</v>
      </c>
      <c r="F387" s="36">
        <f t="shared" si="156"/>
        <v>0</v>
      </c>
    </row>
    <row r="388" spans="1:6" ht="47.25">
      <c r="A388" s="86">
        <v>1520110440</v>
      </c>
      <c r="B388" s="86"/>
      <c r="C388" s="87" t="s">
        <v>389</v>
      </c>
      <c r="D388" s="21">
        <f>D389</f>
        <v>217.5</v>
      </c>
      <c r="E388" s="21">
        <f t="shared" ref="E388:F389" si="157">E389</f>
        <v>0</v>
      </c>
      <c r="F388" s="21">
        <f t="shared" si="157"/>
        <v>0</v>
      </c>
    </row>
    <row r="389" spans="1:6" ht="31.5">
      <c r="A389" s="10" t="s">
        <v>388</v>
      </c>
      <c r="B389" s="88" t="s">
        <v>104</v>
      </c>
      <c r="C389" s="87" t="s">
        <v>105</v>
      </c>
      <c r="D389" s="21">
        <f>D390</f>
        <v>217.5</v>
      </c>
      <c r="E389" s="21">
        <f t="shared" si="157"/>
        <v>0</v>
      </c>
      <c r="F389" s="21">
        <f t="shared" si="157"/>
        <v>0</v>
      </c>
    </row>
    <row r="390" spans="1:6">
      <c r="A390" s="10" t="s">
        <v>388</v>
      </c>
      <c r="B390" s="86">
        <v>610</v>
      </c>
      <c r="C390" s="87" t="s">
        <v>115</v>
      </c>
      <c r="D390" s="21">
        <f>'№ 6'!E439</f>
        <v>217.5</v>
      </c>
      <c r="E390" s="21">
        <f>'№ 6'!F439</f>
        <v>0</v>
      </c>
      <c r="F390" s="21">
        <f>'№ 6'!G439</f>
        <v>0</v>
      </c>
    </row>
    <row r="391" spans="1:6" ht="31.5">
      <c r="A391" s="86" t="s">
        <v>362</v>
      </c>
      <c r="B391" s="86"/>
      <c r="C391" s="87" t="s">
        <v>276</v>
      </c>
      <c r="D391" s="36">
        <f>D392</f>
        <v>231.10000000000002</v>
      </c>
      <c r="E391" s="36">
        <f t="shared" ref="E391:F392" si="158">E392</f>
        <v>0</v>
      </c>
      <c r="F391" s="36">
        <f t="shared" si="158"/>
        <v>0</v>
      </c>
    </row>
    <row r="392" spans="1:6" ht="31.5">
      <c r="A392" s="10" t="s">
        <v>362</v>
      </c>
      <c r="B392" s="88" t="s">
        <v>104</v>
      </c>
      <c r="C392" s="87" t="s">
        <v>105</v>
      </c>
      <c r="D392" s="36">
        <f>D393</f>
        <v>231.10000000000002</v>
      </c>
      <c r="E392" s="36">
        <f t="shared" si="158"/>
        <v>0</v>
      </c>
      <c r="F392" s="36">
        <f t="shared" si="158"/>
        <v>0</v>
      </c>
    </row>
    <row r="393" spans="1:6">
      <c r="A393" s="10" t="s">
        <v>362</v>
      </c>
      <c r="B393" s="86">
        <v>610</v>
      </c>
      <c r="C393" s="87" t="s">
        <v>115</v>
      </c>
      <c r="D393" s="36">
        <f>'№ 6'!E442</f>
        <v>231.10000000000002</v>
      </c>
      <c r="E393" s="36">
        <f>'№ 6'!F442</f>
        <v>0</v>
      </c>
      <c r="F393" s="36">
        <f>'№ 6'!G442</f>
        <v>0</v>
      </c>
    </row>
    <row r="394" spans="1:6" ht="31.5">
      <c r="A394" s="10" t="s">
        <v>480</v>
      </c>
      <c r="B394" s="128"/>
      <c r="C394" s="66" t="s">
        <v>481</v>
      </c>
      <c r="D394" s="36">
        <f>D395</f>
        <v>114.8</v>
      </c>
      <c r="E394" s="36">
        <f t="shared" ref="E394:F395" si="159">E395</f>
        <v>0</v>
      </c>
      <c r="F394" s="36">
        <f t="shared" si="159"/>
        <v>0</v>
      </c>
    </row>
    <row r="395" spans="1:6" ht="31.5">
      <c r="A395" s="10" t="s">
        <v>480</v>
      </c>
      <c r="B395" s="130" t="s">
        <v>104</v>
      </c>
      <c r="C395" s="66" t="s">
        <v>105</v>
      </c>
      <c r="D395" s="36">
        <f>D396</f>
        <v>114.8</v>
      </c>
      <c r="E395" s="36">
        <f t="shared" si="159"/>
        <v>0</v>
      </c>
      <c r="F395" s="36">
        <f t="shared" si="159"/>
        <v>0</v>
      </c>
    </row>
    <row r="396" spans="1:6">
      <c r="A396" s="10" t="s">
        <v>480</v>
      </c>
      <c r="B396" s="128">
        <v>610</v>
      </c>
      <c r="C396" s="66" t="s">
        <v>115</v>
      </c>
      <c r="D396" s="36">
        <f>'№ 6'!E445</f>
        <v>114.8</v>
      </c>
      <c r="E396" s="36">
        <f>'№ 6'!F445</f>
        <v>0</v>
      </c>
      <c r="F396" s="36">
        <f>'№ 6'!G445</f>
        <v>0</v>
      </c>
    </row>
    <row r="397" spans="1:6" ht="47.25">
      <c r="A397" s="88">
        <v>1520200000</v>
      </c>
      <c r="B397" s="128"/>
      <c r="C397" s="133" t="s">
        <v>363</v>
      </c>
      <c r="D397" s="36">
        <f>D398</f>
        <v>290.5</v>
      </c>
      <c r="E397" s="36">
        <f>E398</f>
        <v>0</v>
      </c>
      <c r="F397" s="36">
        <f>F398</f>
        <v>0</v>
      </c>
    </row>
    <row r="398" spans="1:6">
      <c r="A398" s="88">
        <v>1520220190</v>
      </c>
      <c r="B398" s="86"/>
      <c r="C398" s="87" t="s">
        <v>392</v>
      </c>
      <c r="D398" s="36">
        <f>D399</f>
        <v>290.5</v>
      </c>
      <c r="E398" s="36">
        <f t="shared" ref="E398:F399" si="160">E399</f>
        <v>0</v>
      </c>
      <c r="F398" s="36">
        <f t="shared" si="160"/>
        <v>0</v>
      </c>
    </row>
    <row r="399" spans="1:6" ht="31.5">
      <c r="A399" s="88">
        <v>1520220190</v>
      </c>
      <c r="B399" s="88" t="s">
        <v>104</v>
      </c>
      <c r="C399" s="87" t="s">
        <v>105</v>
      </c>
      <c r="D399" s="36">
        <f>D400</f>
        <v>290.5</v>
      </c>
      <c r="E399" s="36">
        <f t="shared" si="160"/>
        <v>0</v>
      </c>
      <c r="F399" s="36">
        <f t="shared" si="160"/>
        <v>0</v>
      </c>
    </row>
    <row r="400" spans="1:6">
      <c r="A400" s="88">
        <v>1520220190</v>
      </c>
      <c r="B400" s="86">
        <v>610</v>
      </c>
      <c r="C400" s="87" t="s">
        <v>115</v>
      </c>
      <c r="D400" s="36">
        <f>'№ 6'!E383</f>
        <v>290.5</v>
      </c>
      <c r="E400" s="36">
        <f>'№ 6'!F383</f>
        <v>0</v>
      </c>
      <c r="F400" s="36">
        <f>'№ 6'!G383</f>
        <v>0</v>
      </c>
    </row>
    <row r="401" spans="1:6" ht="47.25">
      <c r="A401" s="27">
        <v>1600000000</v>
      </c>
      <c r="B401" s="88"/>
      <c r="C401" s="55" t="s">
        <v>125</v>
      </c>
      <c r="D401" s="35">
        <f>D402+D411+D434+D446</f>
        <v>16073.1</v>
      </c>
      <c r="E401" s="35">
        <f>E402+E411+E434+E446</f>
        <v>18311.599999999999</v>
      </c>
      <c r="F401" s="35">
        <f>F402+F411+F434+F446</f>
        <v>21853.599999999999</v>
      </c>
    </row>
    <row r="402" spans="1:6" ht="31.5">
      <c r="A402" s="88">
        <v>1610000000</v>
      </c>
      <c r="B402" s="86"/>
      <c r="C402" s="87" t="s">
        <v>257</v>
      </c>
      <c r="D402" s="36">
        <f>D403+D407</f>
        <v>2652.2000000000003</v>
      </c>
      <c r="E402" s="36">
        <f t="shared" ref="E402:F402" si="161">E403+E407</f>
        <v>2640.8</v>
      </c>
      <c r="F402" s="36">
        <f t="shared" si="161"/>
        <v>2234.4</v>
      </c>
    </row>
    <row r="403" spans="1:6" ht="47.25">
      <c r="A403" s="88">
        <v>1610100000</v>
      </c>
      <c r="B403" s="86"/>
      <c r="C403" s="87" t="s">
        <v>228</v>
      </c>
      <c r="D403" s="36">
        <f>D404</f>
        <v>2245.8000000000002</v>
      </c>
      <c r="E403" s="36">
        <f t="shared" ref="E403:F405" si="162">E404</f>
        <v>2234.4</v>
      </c>
      <c r="F403" s="36">
        <f t="shared" si="162"/>
        <v>2234.4</v>
      </c>
    </row>
    <row r="404" spans="1:6" ht="31.5">
      <c r="A404" s="88">
        <v>1610120010</v>
      </c>
      <c r="B404" s="86"/>
      <c r="C404" s="87" t="s">
        <v>135</v>
      </c>
      <c r="D404" s="36">
        <f>D405</f>
        <v>2245.8000000000002</v>
      </c>
      <c r="E404" s="36">
        <f t="shared" si="162"/>
        <v>2234.4</v>
      </c>
      <c r="F404" s="36">
        <f t="shared" si="162"/>
        <v>2234.4</v>
      </c>
    </row>
    <row r="405" spans="1:6" ht="31.5">
      <c r="A405" s="88">
        <v>1610120010</v>
      </c>
      <c r="B405" s="88" t="s">
        <v>104</v>
      </c>
      <c r="C405" s="87" t="s">
        <v>105</v>
      </c>
      <c r="D405" s="36">
        <f>D406</f>
        <v>2245.8000000000002</v>
      </c>
      <c r="E405" s="36">
        <f t="shared" si="162"/>
        <v>2234.4</v>
      </c>
      <c r="F405" s="36">
        <f t="shared" si="162"/>
        <v>2234.4</v>
      </c>
    </row>
    <row r="406" spans="1:6">
      <c r="A406" s="88">
        <v>1610120010</v>
      </c>
      <c r="B406" s="86">
        <v>610</v>
      </c>
      <c r="C406" s="87" t="s">
        <v>115</v>
      </c>
      <c r="D406" s="36">
        <f>'№ 5'!F220</f>
        <v>2245.8000000000002</v>
      </c>
      <c r="E406" s="36">
        <f>'№ 5'!G220</f>
        <v>2234.4</v>
      </c>
      <c r="F406" s="36">
        <f>'№ 5'!H220</f>
        <v>2234.4</v>
      </c>
    </row>
    <row r="407" spans="1:6" ht="31.5">
      <c r="A407" s="88">
        <v>1610300000</v>
      </c>
      <c r="B407" s="86"/>
      <c r="C407" s="87" t="s">
        <v>265</v>
      </c>
      <c r="D407" s="36">
        <f>D408</f>
        <v>406.4</v>
      </c>
      <c r="E407" s="36">
        <f t="shared" ref="E407:F407" si="163">E408</f>
        <v>406.4</v>
      </c>
      <c r="F407" s="36">
        <f t="shared" si="163"/>
        <v>0</v>
      </c>
    </row>
    <row r="408" spans="1:6">
      <c r="A408" s="88">
        <v>1610320200</v>
      </c>
      <c r="B408" s="86"/>
      <c r="C408" s="87" t="s">
        <v>163</v>
      </c>
      <c r="D408" s="36">
        <f>D409</f>
        <v>406.4</v>
      </c>
      <c r="E408" s="36">
        <f t="shared" ref="E408:F409" si="164">E409</f>
        <v>406.4</v>
      </c>
      <c r="F408" s="36">
        <f t="shared" si="164"/>
        <v>0</v>
      </c>
    </row>
    <row r="409" spans="1:6" ht="31.5">
      <c r="A409" s="88">
        <v>1610320200</v>
      </c>
      <c r="B409" s="88" t="s">
        <v>104</v>
      </c>
      <c r="C409" s="87" t="s">
        <v>105</v>
      </c>
      <c r="D409" s="36">
        <f>D410</f>
        <v>406.4</v>
      </c>
      <c r="E409" s="36">
        <f t="shared" si="164"/>
        <v>406.4</v>
      </c>
      <c r="F409" s="36">
        <f t="shared" si="164"/>
        <v>0</v>
      </c>
    </row>
    <row r="410" spans="1:6">
      <c r="A410" s="88">
        <v>1610320200</v>
      </c>
      <c r="B410" s="86">
        <v>610</v>
      </c>
      <c r="C410" s="87" t="s">
        <v>115</v>
      </c>
      <c r="D410" s="36">
        <f>'№ 5'!F224</f>
        <v>406.4</v>
      </c>
      <c r="E410" s="36">
        <f>'№ 5'!G224</f>
        <v>406.4</v>
      </c>
      <c r="F410" s="36">
        <f>'№ 5'!H224</f>
        <v>0</v>
      </c>
    </row>
    <row r="411" spans="1:6" ht="31.5">
      <c r="A411" s="88">
        <v>1620000000</v>
      </c>
      <c r="B411" s="88"/>
      <c r="C411" s="87" t="s">
        <v>118</v>
      </c>
      <c r="D411" s="36">
        <f>D412+D427</f>
        <v>11034.499999999998</v>
      </c>
      <c r="E411" s="36">
        <f t="shared" ref="E411:F411" si="165">E412+E427</f>
        <v>12682.3</v>
      </c>
      <c r="F411" s="36">
        <f t="shared" si="165"/>
        <v>17150.099999999999</v>
      </c>
    </row>
    <row r="412" spans="1:6">
      <c r="A412" s="88">
        <v>1620100000</v>
      </c>
      <c r="B412" s="88"/>
      <c r="C412" s="87" t="s">
        <v>119</v>
      </c>
      <c r="D412" s="36">
        <f>D413+D416+D421+D424</f>
        <v>5161.7999999999993</v>
      </c>
      <c r="E412" s="36">
        <f t="shared" ref="E412:F412" si="166">E413+E416+E421+E424</f>
        <v>4852.2</v>
      </c>
      <c r="F412" s="36">
        <f t="shared" si="166"/>
        <v>4426.2</v>
      </c>
    </row>
    <row r="413" spans="1:6">
      <c r="A413" s="88">
        <v>1620120210</v>
      </c>
      <c r="B413" s="18"/>
      <c r="C413" s="87" t="s">
        <v>120</v>
      </c>
      <c r="D413" s="36">
        <f>D414</f>
        <v>3068.4999999999995</v>
      </c>
      <c r="E413" s="36">
        <f t="shared" ref="E413:F414" si="167">E414</f>
        <v>2710.5</v>
      </c>
      <c r="F413" s="36">
        <f t="shared" si="167"/>
        <v>2710.5</v>
      </c>
    </row>
    <row r="414" spans="1:6" ht="31.5">
      <c r="A414" s="88">
        <v>1620120210</v>
      </c>
      <c r="B414" s="88" t="s">
        <v>72</v>
      </c>
      <c r="C414" s="87" t="s">
        <v>102</v>
      </c>
      <c r="D414" s="36">
        <f>D415</f>
        <v>3068.4999999999995</v>
      </c>
      <c r="E414" s="36">
        <f t="shared" si="167"/>
        <v>2710.5</v>
      </c>
      <c r="F414" s="36">
        <f t="shared" si="167"/>
        <v>2710.5</v>
      </c>
    </row>
    <row r="415" spans="1:6" ht="31.5">
      <c r="A415" s="88">
        <v>1620120210</v>
      </c>
      <c r="B415" s="86">
        <v>240</v>
      </c>
      <c r="C415" s="87" t="s">
        <v>315</v>
      </c>
      <c r="D415" s="36">
        <f>'№ 6'!E114</f>
        <v>3068.4999999999995</v>
      </c>
      <c r="E415" s="36">
        <f>'№ 6'!F114</f>
        <v>2710.5</v>
      </c>
      <c r="F415" s="36">
        <f>'№ 6'!G114</f>
        <v>2710.5</v>
      </c>
    </row>
    <row r="416" spans="1:6" ht="31.5">
      <c r="A416" s="88">
        <v>1620120220</v>
      </c>
      <c r="B416" s="86"/>
      <c r="C416" s="87" t="s">
        <v>117</v>
      </c>
      <c r="D416" s="36">
        <f>D417+D419</f>
        <v>267.60000000000002</v>
      </c>
      <c r="E416" s="36">
        <f t="shared" ref="E416:F416" si="168">E417+E419</f>
        <v>126</v>
      </c>
      <c r="F416" s="36">
        <f t="shared" si="168"/>
        <v>0</v>
      </c>
    </row>
    <row r="417" spans="1:6" ht="31.5">
      <c r="A417" s="88">
        <v>1620120220</v>
      </c>
      <c r="B417" s="88" t="s">
        <v>72</v>
      </c>
      <c r="C417" s="87" t="s">
        <v>102</v>
      </c>
      <c r="D417" s="36">
        <f>D418</f>
        <v>247.6</v>
      </c>
      <c r="E417" s="36">
        <f t="shared" ref="E417:F417" si="169">E418</f>
        <v>126</v>
      </c>
      <c r="F417" s="36">
        <f t="shared" si="169"/>
        <v>0</v>
      </c>
    </row>
    <row r="418" spans="1:6" ht="31.5">
      <c r="A418" s="88">
        <v>1620120220</v>
      </c>
      <c r="B418" s="86">
        <v>240</v>
      </c>
      <c r="C418" s="87" t="s">
        <v>315</v>
      </c>
      <c r="D418" s="36">
        <f>'№ 6'!E117</f>
        <v>247.6</v>
      </c>
      <c r="E418" s="36">
        <f>'№ 6'!F117</f>
        <v>126</v>
      </c>
      <c r="F418" s="36">
        <f>'№ 6'!G117</f>
        <v>0</v>
      </c>
    </row>
    <row r="419" spans="1:6">
      <c r="A419" s="88">
        <v>1620120220</v>
      </c>
      <c r="B419" s="11" t="s">
        <v>73</v>
      </c>
      <c r="C419" s="42" t="s">
        <v>74</v>
      </c>
      <c r="D419" s="36">
        <f>D420</f>
        <v>20</v>
      </c>
      <c r="E419" s="36">
        <f t="shared" ref="E419:F419" si="170">E420</f>
        <v>0</v>
      </c>
      <c r="F419" s="36">
        <f t="shared" si="170"/>
        <v>0</v>
      </c>
    </row>
    <row r="420" spans="1:6">
      <c r="A420" s="88">
        <v>1620120220</v>
      </c>
      <c r="B420" s="1" t="s">
        <v>366</v>
      </c>
      <c r="C420" s="69" t="s">
        <v>367</v>
      </c>
      <c r="D420" s="36">
        <f>'№ 6'!E119</f>
        <v>20</v>
      </c>
      <c r="E420" s="36">
        <f>'№ 6'!F119</f>
        <v>0</v>
      </c>
      <c r="F420" s="36">
        <f>'№ 6'!G119</f>
        <v>0</v>
      </c>
    </row>
    <row r="421" spans="1:6" ht="47.25">
      <c r="A421" s="88">
        <v>1620120230</v>
      </c>
      <c r="B421" s="88"/>
      <c r="C421" s="87" t="s">
        <v>124</v>
      </c>
      <c r="D421" s="36">
        <f>D422</f>
        <v>1715.7</v>
      </c>
      <c r="E421" s="36">
        <f t="shared" ref="E421:F422" si="171">E422</f>
        <v>1715.7</v>
      </c>
      <c r="F421" s="36">
        <f t="shared" si="171"/>
        <v>1715.7</v>
      </c>
    </row>
    <row r="422" spans="1:6" ht="31.5">
      <c r="A422" s="88">
        <v>1620120230</v>
      </c>
      <c r="B422" s="88" t="s">
        <v>72</v>
      </c>
      <c r="C422" s="87" t="s">
        <v>102</v>
      </c>
      <c r="D422" s="36">
        <f>D423</f>
        <v>1715.7</v>
      </c>
      <c r="E422" s="36">
        <f t="shared" si="171"/>
        <v>1715.7</v>
      </c>
      <c r="F422" s="36">
        <f t="shared" si="171"/>
        <v>1715.7</v>
      </c>
    </row>
    <row r="423" spans="1:6" ht="31.5">
      <c r="A423" s="88">
        <v>1620120230</v>
      </c>
      <c r="B423" s="86">
        <v>240</v>
      </c>
      <c r="C423" s="87" t="s">
        <v>315</v>
      </c>
      <c r="D423" s="36">
        <f>'№ 6'!E277</f>
        <v>1715.7</v>
      </c>
      <c r="E423" s="36">
        <f>'№ 6'!F277</f>
        <v>1715.7</v>
      </c>
      <c r="F423" s="36">
        <f>'№ 6'!G277</f>
        <v>1715.7</v>
      </c>
    </row>
    <row r="424" spans="1:6" ht="31.5">
      <c r="A424" s="88">
        <v>1620120240</v>
      </c>
      <c r="B424" s="88"/>
      <c r="C424" s="87" t="s">
        <v>122</v>
      </c>
      <c r="D424" s="36">
        <f>D425</f>
        <v>110</v>
      </c>
      <c r="E424" s="36">
        <f t="shared" ref="E424:F425" si="172">E425</f>
        <v>300</v>
      </c>
      <c r="F424" s="36">
        <f t="shared" si="172"/>
        <v>0</v>
      </c>
    </row>
    <row r="425" spans="1:6" ht="31.5">
      <c r="A425" s="88">
        <v>1620120240</v>
      </c>
      <c r="B425" s="88" t="s">
        <v>72</v>
      </c>
      <c r="C425" s="87" t="s">
        <v>102</v>
      </c>
      <c r="D425" s="36">
        <f>D426</f>
        <v>110</v>
      </c>
      <c r="E425" s="36">
        <f t="shared" si="172"/>
        <v>300</v>
      </c>
      <c r="F425" s="36">
        <f t="shared" si="172"/>
        <v>0</v>
      </c>
    </row>
    <row r="426" spans="1:6" ht="31.5">
      <c r="A426" s="88">
        <v>1620120240</v>
      </c>
      <c r="B426" s="86">
        <v>240</v>
      </c>
      <c r="C426" s="87" t="s">
        <v>315</v>
      </c>
      <c r="D426" s="36">
        <f>'№ 6'!E269</f>
        <v>110</v>
      </c>
      <c r="E426" s="36">
        <f>'№ 6'!F269</f>
        <v>300</v>
      </c>
      <c r="F426" s="36">
        <f>'№ 6'!G269</f>
        <v>0</v>
      </c>
    </row>
    <row r="427" spans="1:6">
      <c r="A427" s="88">
        <v>1620200000</v>
      </c>
      <c r="B427" s="88"/>
      <c r="C427" s="87" t="s">
        <v>123</v>
      </c>
      <c r="D427" s="36">
        <f>D428+D431</f>
        <v>5872.6999999999989</v>
      </c>
      <c r="E427" s="36">
        <f t="shared" ref="E427:F427" si="173">E428+E431</f>
        <v>7830.1</v>
      </c>
      <c r="F427" s="36">
        <f t="shared" si="173"/>
        <v>12723.9</v>
      </c>
    </row>
    <row r="428" spans="1:6" ht="63">
      <c r="A428" s="88">
        <v>1620210820</v>
      </c>
      <c r="B428" s="88"/>
      <c r="C428" s="87" t="s">
        <v>280</v>
      </c>
      <c r="D428" s="36">
        <f>D429</f>
        <v>3915.0999999999995</v>
      </c>
      <c r="E428" s="36">
        <f t="shared" ref="E428:F429" si="174">E429</f>
        <v>7830.1</v>
      </c>
      <c r="F428" s="36">
        <f t="shared" si="174"/>
        <v>12723.9</v>
      </c>
    </row>
    <row r="429" spans="1:6" ht="31.5">
      <c r="A429" s="88">
        <v>1620210820</v>
      </c>
      <c r="B429" s="88" t="s">
        <v>75</v>
      </c>
      <c r="C429" s="87" t="s">
        <v>103</v>
      </c>
      <c r="D429" s="36">
        <f>D430</f>
        <v>3915.0999999999995</v>
      </c>
      <c r="E429" s="36">
        <f t="shared" si="174"/>
        <v>7830.1</v>
      </c>
      <c r="F429" s="36">
        <f t="shared" si="174"/>
        <v>12723.9</v>
      </c>
    </row>
    <row r="430" spans="1:6">
      <c r="A430" s="88">
        <v>1620210820</v>
      </c>
      <c r="B430" s="88" t="s">
        <v>131</v>
      </c>
      <c r="C430" s="87" t="s">
        <v>132</v>
      </c>
      <c r="D430" s="36">
        <f>'№ 6'!E636</f>
        <v>3915.0999999999995</v>
      </c>
      <c r="E430" s="36">
        <f>'№ 6'!F636</f>
        <v>7830.1</v>
      </c>
      <c r="F430" s="36">
        <f>'№ 6'!G636</f>
        <v>12723.9</v>
      </c>
    </row>
    <row r="431" spans="1:6" ht="47.25">
      <c r="A431" s="88" t="s">
        <v>343</v>
      </c>
      <c r="B431" s="88"/>
      <c r="C431" s="66" t="s">
        <v>344</v>
      </c>
      <c r="D431" s="36">
        <f>D432</f>
        <v>1957.6</v>
      </c>
      <c r="E431" s="36">
        <f t="shared" ref="E431:F432" si="175">E432</f>
        <v>0</v>
      </c>
      <c r="F431" s="36">
        <f t="shared" si="175"/>
        <v>0</v>
      </c>
    </row>
    <row r="432" spans="1:6" ht="31.5">
      <c r="A432" s="88" t="s">
        <v>343</v>
      </c>
      <c r="B432" s="88" t="s">
        <v>75</v>
      </c>
      <c r="C432" s="66" t="s">
        <v>103</v>
      </c>
      <c r="D432" s="36">
        <f>D433</f>
        <v>1957.6</v>
      </c>
      <c r="E432" s="36">
        <f t="shared" si="175"/>
        <v>0</v>
      </c>
      <c r="F432" s="36">
        <f t="shared" si="175"/>
        <v>0</v>
      </c>
    </row>
    <row r="433" spans="1:6">
      <c r="A433" s="88" t="s">
        <v>343</v>
      </c>
      <c r="B433" s="88" t="s">
        <v>131</v>
      </c>
      <c r="C433" s="66" t="s">
        <v>132</v>
      </c>
      <c r="D433" s="36">
        <f>'№ 6'!E639</f>
        <v>1957.6</v>
      </c>
      <c r="E433" s="36">
        <f>'№ 6'!F639</f>
        <v>0</v>
      </c>
      <c r="F433" s="36">
        <f>'№ 6'!G639</f>
        <v>0</v>
      </c>
    </row>
    <row r="434" spans="1:6" ht="47.25">
      <c r="A434" s="88">
        <v>1630000000</v>
      </c>
      <c r="B434" s="86"/>
      <c r="C434" s="87" t="s">
        <v>258</v>
      </c>
      <c r="D434" s="36">
        <f>D435+D442</f>
        <v>2202.7000000000003</v>
      </c>
      <c r="E434" s="36">
        <f>E435+E442</f>
        <v>2483</v>
      </c>
      <c r="F434" s="36">
        <f>F435+F442</f>
        <v>2469.1</v>
      </c>
    </row>
    <row r="435" spans="1:6" ht="47.25">
      <c r="A435" s="86">
        <v>1630100000</v>
      </c>
      <c r="B435" s="86"/>
      <c r="C435" s="87" t="s">
        <v>259</v>
      </c>
      <c r="D435" s="36">
        <f>D436+D439</f>
        <v>1942.3000000000002</v>
      </c>
      <c r="E435" s="36">
        <f>E436+E439</f>
        <v>2291.6999999999998</v>
      </c>
      <c r="F435" s="36">
        <f>F436+F439</f>
        <v>2271.6</v>
      </c>
    </row>
    <row r="436" spans="1:6" ht="47.25">
      <c r="A436" s="86">
        <v>1630120180</v>
      </c>
      <c r="B436" s="86"/>
      <c r="C436" s="87" t="s">
        <v>260</v>
      </c>
      <c r="D436" s="36">
        <f>D437</f>
        <v>1207.7</v>
      </c>
      <c r="E436" s="36">
        <f t="shared" ref="E436:F436" si="176">E437</f>
        <v>1293.4000000000001</v>
      </c>
      <c r="F436" s="36">
        <f t="shared" si="176"/>
        <v>1345.2</v>
      </c>
    </row>
    <row r="437" spans="1:6" ht="31.5">
      <c r="A437" s="86">
        <v>1630120180</v>
      </c>
      <c r="B437" s="86" t="s">
        <v>72</v>
      </c>
      <c r="C437" s="87" t="s">
        <v>102</v>
      </c>
      <c r="D437" s="36">
        <f>D438</f>
        <v>1207.7</v>
      </c>
      <c r="E437" s="36">
        <f t="shared" ref="E437:F437" si="177">E438</f>
        <v>1293.4000000000001</v>
      </c>
      <c r="F437" s="36">
        <f t="shared" si="177"/>
        <v>1345.2</v>
      </c>
    </row>
    <row r="438" spans="1:6" ht="31.5">
      <c r="A438" s="86">
        <v>1630120180</v>
      </c>
      <c r="B438" s="86">
        <v>240</v>
      </c>
      <c r="C438" s="87" t="s">
        <v>315</v>
      </c>
      <c r="D438" s="36">
        <f>'№ 6'!E124</f>
        <v>1207.7</v>
      </c>
      <c r="E438" s="36">
        <f>'№ 6'!F124</f>
        <v>1293.4000000000001</v>
      </c>
      <c r="F438" s="36">
        <f>'№ 6'!G124</f>
        <v>1345.2</v>
      </c>
    </row>
    <row r="439" spans="1:6" ht="47.25">
      <c r="A439" s="86">
        <v>1630120520</v>
      </c>
      <c r="B439" s="86"/>
      <c r="C439" s="87" t="s">
        <v>266</v>
      </c>
      <c r="D439" s="36">
        <f>D440</f>
        <v>734.6</v>
      </c>
      <c r="E439" s="36">
        <f t="shared" ref="E439:F439" si="178">E440</f>
        <v>998.3</v>
      </c>
      <c r="F439" s="36">
        <f t="shared" si="178"/>
        <v>926.4</v>
      </c>
    </row>
    <row r="440" spans="1:6" ht="31.5">
      <c r="A440" s="86">
        <v>1630120520</v>
      </c>
      <c r="B440" s="86" t="s">
        <v>72</v>
      </c>
      <c r="C440" s="87" t="s">
        <v>102</v>
      </c>
      <c r="D440" s="36">
        <f>D441</f>
        <v>734.6</v>
      </c>
      <c r="E440" s="36">
        <f t="shared" ref="E440:F440" si="179">E441</f>
        <v>998.3</v>
      </c>
      <c r="F440" s="36">
        <f t="shared" si="179"/>
        <v>926.4</v>
      </c>
    </row>
    <row r="441" spans="1:6" ht="31.5">
      <c r="A441" s="86">
        <v>1630120520</v>
      </c>
      <c r="B441" s="86">
        <v>240</v>
      </c>
      <c r="C441" s="87" t="s">
        <v>315</v>
      </c>
      <c r="D441" s="36">
        <f>'№ 6'!E127</f>
        <v>734.6</v>
      </c>
      <c r="E441" s="36">
        <f>'№ 6'!F127</f>
        <v>998.3</v>
      </c>
      <c r="F441" s="36">
        <f>'№ 6'!G127</f>
        <v>926.4</v>
      </c>
    </row>
    <row r="442" spans="1:6" ht="47.25">
      <c r="A442" s="86">
        <v>1630200000</v>
      </c>
      <c r="B442" s="86"/>
      <c r="C442" s="87" t="s">
        <v>261</v>
      </c>
      <c r="D442" s="36">
        <f>D443</f>
        <v>260.39999999999998</v>
      </c>
      <c r="E442" s="36">
        <f t="shared" ref="E442:F442" si="180">E443</f>
        <v>191.3</v>
      </c>
      <c r="F442" s="36">
        <f t="shared" si="180"/>
        <v>197.5</v>
      </c>
    </row>
    <row r="443" spans="1:6">
      <c r="A443" s="86">
        <v>1630220530</v>
      </c>
      <c r="B443" s="86"/>
      <c r="C443" s="87" t="s">
        <v>262</v>
      </c>
      <c r="D443" s="36">
        <f>D444</f>
        <v>260.39999999999998</v>
      </c>
      <c r="E443" s="36">
        <f t="shared" ref="E443:F444" si="181">E444</f>
        <v>191.3</v>
      </c>
      <c r="F443" s="36">
        <f t="shared" si="181"/>
        <v>197.5</v>
      </c>
    </row>
    <row r="444" spans="1:6" ht="31.5">
      <c r="A444" s="86">
        <v>1630220530</v>
      </c>
      <c r="B444" s="86" t="s">
        <v>72</v>
      </c>
      <c r="C444" s="87" t="s">
        <v>102</v>
      </c>
      <c r="D444" s="36">
        <f>D445</f>
        <v>260.39999999999998</v>
      </c>
      <c r="E444" s="36">
        <f t="shared" si="181"/>
        <v>191.3</v>
      </c>
      <c r="F444" s="36">
        <f t="shared" si="181"/>
        <v>197.5</v>
      </c>
    </row>
    <row r="445" spans="1:6" ht="31.5">
      <c r="A445" s="86">
        <v>1630220530</v>
      </c>
      <c r="B445" s="86">
        <v>240</v>
      </c>
      <c r="C445" s="87" t="s">
        <v>315</v>
      </c>
      <c r="D445" s="36">
        <f>'№ 6'!E131</f>
        <v>260.39999999999998</v>
      </c>
      <c r="E445" s="36">
        <f>'№ 6'!F131</f>
        <v>191.3</v>
      </c>
      <c r="F445" s="36">
        <f>'№ 6'!G131</f>
        <v>197.5</v>
      </c>
    </row>
    <row r="446" spans="1:6" ht="34.5" customHeight="1">
      <c r="A446" s="88">
        <v>1640000000</v>
      </c>
      <c r="B446" s="1"/>
      <c r="C446" s="57" t="s">
        <v>251</v>
      </c>
      <c r="D446" s="36">
        <f>D447+D451</f>
        <v>183.7</v>
      </c>
      <c r="E446" s="36">
        <f t="shared" ref="E446:F446" si="182">E447+E451</f>
        <v>505.5</v>
      </c>
      <c r="F446" s="36">
        <f t="shared" si="182"/>
        <v>0</v>
      </c>
    </row>
    <row r="447" spans="1:6" ht="31.5">
      <c r="A447" s="88">
        <v>1640100000</v>
      </c>
      <c r="B447" s="86"/>
      <c r="C447" s="87" t="s">
        <v>253</v>
      </c>
      <c r="D447" s="36">
        <f>D448</f>
        <v>157.19999999999999</v>
      </c>
      <c r="E447" s="36">
        <f t="shared" ref="E447:F449" si="183">E448</f>
        <v>479</v>
      </c>
      <c r="F447" s="36">
        <f t="shared" si="183"/>
        <v>0</v>
      </c>
    </row>
    <row r="448" spans="1:6">
      <c r="A448" s="88">
        <v>1640120510</v>
      </c>
      <c r="B448" s="86"/>
      <c r="C448" s="87" t="s">
        <v>255</v>
      </c>
      <c r="D448" s="36">
        <f>D449</f>
        <v>157.19999999999999</v>
      </c>
      <c r="E448" s="36">
        <f t="shared" si="183"/>
        <v>479</v>
      </c>
      <c r="F448" s="36">
        <f t="shared" si="183"/>
        <v>0</v>
      </c>
    </row>
    <row r="449" spans="1:6" ht="31.5">
      <c r="A449" s="88">
        <v>1640120510</v>
      </c>
      <c r="B449" s="88" t="s">
        <v>72</v>
      </c>
      <c r="C449" s="87" t="s">
        <v>102</v>
      </c>
      <c r="D449" s="36">
        <f>D450</f>
        <v>157.19999999999999</v>
      </c>
      <c r="E449" s="36">
        <f t="shared" si="183"/>
        <v>479</v>
      </c>
      <c r="F449" s="36">
        <f t="shared" si="183"/>
        <v>0</v>
      </c>
    </row>
    <row r="450" spans="1:6" ht="31.5">
      <c r="A450" s="88">
        <v>1640120510</v>
      </c>
      <c r="B450" s="86">
        <v>240</v>
      </c>
      <c r="C450" s="87" t="s">
        <v>315</v>
      </c>
      <c r="D450" s="36">
        <f>'№ 6'!E481</f>
        <v>157.19999999999999</v>
      </c>
      <c r="E450" s="36">
        <f>'№ 6'!F481</f>
        <v>479</v>
      </c>
      <c r="F450" s="36">
        <f>'№ 6'!G481</f>
        <v>0</v>
      </c>
    </row>
    <row r="451" spans="1:6" ht="31.5">
      <c r="A451" s="86">
        <v>1640200000</v>
      </c>
      <c r="B451" s="1"/>
      <c r="C451" s="57" t="s">
        <v>254</v>
      </c>
      <c r="D451" s="36">
        <f>D452</f>
        <v>26.5</v>
      </c>
      <c r="E451" s="36">
        <f t="shared" ref="E451:F453" si="184">E452</f>
        <v>26.5</v>
      </c>
      <c r="F451" s="36">
        <f t="shared" si="184"/>
        <v>0</v>
      </c>
    </row>
    <row r="452" spans="1:6">
      <c r="A452" s="86">
        <v>1640220250</v>
      </c>
      <c r="B452" s="1"/>
      <c r="C452" s="57" t="s">
        <v>252</v>
      </c>
      <c r="D452" s="36">
        <f>D453</f>
        <v>26.5</v>
      </c>
      <c r="E452" s="36">
        <f t="shared" si="184"/>
        <v>26.5</v>
      </c>
      <c r="F452" s="36">
        <f t="shared" si="184"/>
        <v>0</v>
      </c>
    </row>
    <row r="453" spans="1:6" ht="31.5">
      <c r="A453" s="86">
        <v>1640220250</v>
      </c>
      <c r="B453" s="88" t="s">
        <v>72</v>
      </c>
      <c r="C453" s="87" t="s">
        <v>102</v>
      </c>
      <c r="D453" s="36">
        <f>D454</f>
        <v>26.5</v>
      </c>
      <c r="E453" s="36">
        <f t="shared" si="184"/>
        <v>26.5</v>
      </c>
      <c r="F453" s="36">
        <f t="shared" si="184"/>
        <v>0</v>
      </c>
    </row>
    <row r="454" spans="1:6" ht="31.5">
      <c r="A454" s="86">
        <v>1640220250</v>
      </c>
      <c r="B454" s="86">
        <v>240</v>
      </c>
      <c r="C454" s="87" t="s">
        <v>315</v>
      </c>
      <c r="D454" s="36">
        <f>'№ 6'!E136</f>
        <v>26.5</v>
      </c>
      <c r="E454" s="36">
        <f>'№ 6'!F136</f>
        <v>26.5</v>
      </c>
      <c r="F454" s="36">
        <f>'№ 6'!G136</f>
        <v>0</v>
      </c>
    </row>
    <row r="455" spans="1:6">
      <c r="A455" s="15">
        <v>9900000000</v>
      </c>
      <c r="B455" s="15"/>
      <c r="C455" s="55" t="s">
        <v>116</v>
      </c>
      <c r="D455" s="35">
        <f>D456+D464+D479+D460</f>
        <v>83835.7</v>
      </c>
      <c r="E455" s="35">
        <f>E456+E464+E479+E460</f>
        <v>73636.5</v>
      </c>
      <c r="F455" s="35">
        <f>F456+F464+F479+F460</f>
        <v>73364.600000000006</v>
      </c>
    </row>
    <row r="456" spans="1:6">
      <c r="A456" s="86">
        <v>9910000000</v>
      </c>
      <c r="B456" s="86"/>
      <c r="C456" s="87" t="s">
        <v>9</v>
      </c>
      <c r="D456" s="36">
        <f>D457</f>
        <v>800</v>
      </c>
      <c r="E456" s="36">
        <f t="shared" ref="E456:F458" si="185">E457</f>
        <v>800</v>
      </c>
      <c r="F456" s="36">
        <f t="shared" si="185"/>
        <v>474.9</v>
      </c>
    </row>
    <row r="457" spans="1:6" ht="31.5">
      <c r="A457" s="86">
        <v>9910020000</v>
      </c>
      <c r="B457" s="86"/>
      <c r="C457" s="87" t="s">
        <v>194</v>
      </c>
      <c r="D457" s="36">
        <f>D458</f>
        <v>800</v>
      </c>
      <c r="E457" s="36">
        <f t="shared" si="185"/>
        <v>800</v>
      </c>
      <c r="F457" s="36">
        <f t="shared" si="185"/>
        <v>474.9</v>
      </c>
    </row>
    <row r="458" spans="1:6">
      <c r="A458" s="86">
        <v>9910020000</v>
      </c>
      <c r="B458" s="88" t="s">
        <v>73</v>
      </c>
      <c r="C458" s="87" t="s">
        <v>74</v>
      </c>
      <c r="D458" s="36">
        <f>D459</f>
        <v>800</v>
      </c>
      <c r="E458" s="36">
        <f t="shared" si="185"/>
        <v>800</v>
      </c>
      <c r="F458" s="36">
        <f t="shared" si="185"/>
        <v>474.9</v>
      </c>
    </row>
    <row r="459" spans="1:6">
      <c r="A459" s="86">
        <v>9910020000</v>
      </c>
      <c r="B459" s="2" t="s">
        <v>195</v>
      </c>
      <c r="C459" s="57" t="s">
        <v>196</v>
      </c>
      <c r="D459" s="36">
        <f>'№ 5'!F509+'№ 6'!E141</f>
        <v>800</v>
      </c>
      <c r="E459" s="36">
        <f>'№ 5'!G509+'№ 6'!F141</f>
        <v>800</v>
      </c>
      <c r="F459" s="36">
        <f>'№ 5'!H509+'№ 6'!G141</f>
        <v>474.9</v>
      </c>
    </row>
    <row r="460" spans="1:6" ht="47.25">
      <c r="A460" s="86">
        <v>9920000000</v>
      </c>
      <c r="B460" s="86"/>
      <c r="C460" s="66" t="s">
        <v>408</v>
      </c>
      <c r="D460" s="36">
        <f>D461</f>
        <v>842.1</v>
      </c>
      <c r="E460" s="36">
        <f t="shared" ref="E460:F462" si="186">E461</f>
        <v>0</v>
      </c>
      <c r="F460" s="36">
        <f t="shared" si="186"/>
        <v>0</v>
      </c>
    </row>
    <row r="461" spans="1:6" ht="31.5">
      <c r="A461" s="86">
        <v>9920010920</v>
      </c>
      <c r="B461" s="86"/>
      <c r="C461" s="66" t="s">
        <v>409</v>
      </c>
      <c r="D461" s="36">
        <f>D462</f>
        <v>842.1</v>
      </c>
      <c r="E461" s="36">
        <f t="shared" si="186"/>
        <v>0</v>
      </c>
      <c r="F461" s="36">
        <f t="shared" si="186"/>
        <v>0</v>
      </c>
    </row>
    <row r="462" spans="1:6" ht="31.5">
      <c r="A462" s="86">
        <v>9920010920</v>
      </c>
      <c r="B462" s="88" t="s">
        <v>104</v>
      </c>
      <c r="C462" s="66" t="s">
        <v>105</v>
      </c>
      <c r="D462" s="36">
        <f>D463</f>
        <v>842.1</v>
      </c>
      <c r="E462" s="36">
        <f t="shared" si="186"/>
        <v>0</v>
      </c>
      <c r="F462" s="36">
        <f t="shared" si="186"/>
        <v>0</v>
      </c>
    </row>
    <row r="463" spans="1:6">
      <c r="A463" s="86">
        <v>9920010920</v>
      </c>
      <c r="B463" s="86">
        <v>610</v>
      </c>
      <c r="C463" s="66" t="s">
        <v>115</v>
      </c>
      <c r="D463" s="36">
        <f>'№ 6'!E474+'№ 6'!E450+'№ 6'!E591</f>
        <v>842.1</v>
      </c>
      <c r="E463" s="36">
        <f>'№ 6'!F474+'№ 6'!F450+'№ 6'!F591</f>
        <v>0</v>
      </c>
      <c r="F463" s="36">
        <f>'№ 6'!G474+'№ 6'!G450+'№ 6'!G591</f>
        <v>0</v>
      </c>
    </row>
    <row r="464" spans="1:6" ht="31.5">
      <c r="A464" s="86">
        <v>9930000000</v>
      </c>
      <c r="B464" s="86"/>
      <c r="C464" s="87" t="s">
        <v>189</v>
      </c>
      <c r="D464" s="36">
        <f>D476+D473+D468+D465</f>
        <v>9657.2000000000007</v>
      </c>
      <c r="E464" s="36">
        <f>E476+E473+E468+E465</f>
        <v>75.900000000000006</v>
      </c>
      <c r="F464" s="36">
        <f>F476+F473+F468+F465</f>
        <v>76.900000000000006</v>
      </c>
    </row>
    <row r="465" spans="1:6" ht="31.5">
      <c r="A465" s="88">
        <v>9930020480</v>
      </c>
      <c r="B465" s="88"/>
      <c r="C465" s="87" t="s">
        <v>395</v>
      </c>
      <c r="D465" s="36">
        <f>D466</f>
        <v>486.6</v>
      </c>
      <c r="E465" s="36">
        <f t="shared" ref="E465:F466" si="187">E466</f>
        <v>0</v>
      </c>
      <c r="F465" s="36">
        <f t="shared" si="187"/>
        <v>0</v>
      </c>
    </row>
    <row r="466" spans="1:6">
      <c r="A466" s="88">
        <v>9930020480</v>
      </c>
      <c r="B466" s="86" t="s">
        <v>73</v>
      </c>
      <c r="C466" s="87" t="s">
        <v>74</v>
      </c>
      <c r="D466" s="36">
        <f>D467</f>
        <v>486.6</v>
      </c>
      <c r="E466" s="36">
        <f t="shared" si="187"/>
        <v>0</v>
      </c>
      <c r="F466" s="36">
        <f t="shared" si="187"/>
        <v>0</v>
      </c>
    </row>
    <row r="467" spans="1:6">
      <c r="A467" s="88">
        <v>9930020480</v>
      </c>
      <c r="B467" s="86">
        <v>880</v>
      </c>
      <c r="C467" s="87" t="s">
        <v>396</v>
      </c>
      <c r="D467" s="36">
        <f>'№ 6'!E66</f>
        <v>486.6</v>
      </c>
      <c r="E467" s="36">
        <f>'№ 6'!F66</f>
        <v>0</v>
      </c>
      <c r="F467" s="36">
        <f>'№ 6'!G66</f>
        <v>0</v>
      </c>
    </row>
    <row r="468" spans="1:6" ht="31.5">
      <c r="A468" s="86">
        <v>9930020490</v>
      </c>
      <c r="B468" s="86"/>
      <c r="C468" s="66" t="s">
        <v>365</v>
      </c>
      <c r="D468" s="36">
        <f>D469+D471</f>
        <v>9136</v>
      </c>
      <c r="E468" s="36">
        <f t="shared" ref="E468:F468" si="188">E469+E471</f>
        <v>0</v>
      </c>
      <c r="F468" s="36">
        <f t="shared" si="188"/>
        <v>0</v>
      </c>
    </row>
    <row r="469" spans="1:6" ht="31.5">
      <c r="A469" s="86">
        <v>9930020490</v>
      </c>
      <c r="B469" s="88" t="s">
        <v>72</v>
      </c>
      <c r="C469" s="87" t="s">
        <v>102</v>
      </c>
      <c r="D469" s="36">
        <f>D470</f>
        <v>6786.5</v>
      </c>
      <c r="E469" s="36">
        <f t="shared" ref="E469:F469" si="189">E470</f>
        <v>0</v>
      </c>
      <c r="F469" s="36">
        <f t="shared" si="189"/>
        <v>0</v>
      </c>
    </row>
    <row r="470" spans="1:6" ht="31.5">
      <c r="A470" s="86">
        <v>9930020490</v>
      </c>
      <c r="B470" s="86">
        <v>240</v>
      </c>
      <c r="C470" s="87" t="s">
        <v>315</v>
      </c>
      <c r="D470" s="36">
        <f>'№ 6'!E251</f>
        <v>6786.5</v>
      </c>
      <c r="E470" s="36">
        <f>'№ 6'!F251</f>
        <v>0</v>
      </c>
      <c r="F470" s="36">
        <f>'№ 6'!G251</f>
        <v>0</v>
      </c>
    </row>
    <row r="471" spans="1:6">
      <c r="A471" s="86">
        <v>9930020490</v>
      </c>
      <c r="B471" s="11" t="s">
        <v>73</v>
      </c>
      <c r="C471" s="42" t="s">
        <v>74</v>
      </c>
      <c r="D471" s="36">
        <f>D472</f>
        <v>2349.5</v>
      </c>
      <c r="E471" s="36">
        <f t="shared" ref="E471:F471" si="190">E472</f>
        <v>0</v>
      </c>
      <c r="F471" s="36">
        <f t="shared" si="190"/>
        <v>0</v>
      </c>
    </row>
    <row r="472" spans="1:6">
      <c r="A472" s="86">
        <v>9930020490</v>
      </c>
      <c r="B472" s="1" t="s">
        <v>366</v>
      </c>
      <c r="C472" s="69" t="s">
        <v>367</v>
      </c>
      <c r="D472" s="36">
        <f>'№ 6'!E253+'№ 6'!E145</f>
        <v>2349.5</v>
      </c>
      <c r="E472" s="36">
        <f>'№ 6'!F253+'№ 6'!F145</f>
        <v>0</v>
      </c>
      <c r="F472" s="36">
        <f>'№ 6'!G253+'№ 6'!G145</f>
        <v>0</v>
      </c>
    </row>
    <row r="473" spans="1:6">
      <c r="A473" s="86">
        <v>9930020500</v>
      </c>
      <c r="B473" s="86"/>
      <c r="C473" s="66" t="s">
        <v>332</v>
      </c>
      <c r="D473" s="36">
        <f>D474</f>
        <v>6</v>
      </c>
      <c r="E473" s="36">
        <f t="shared" ref="E473:F474" si="191">E474</f>
        <v>46</v>
      </c>
      <c r="F473" s="36">
        <f t="shared" si="191"/>
        <v>46</v>
      </c>
    </row>
    <row r="474" spans="1:6">
      <c r="A474" s="86">
        <v>9930020500</v>
      </c>
      <c r="B474" s="86" t="s">
        <v>333</v>
      </c>
      <c r="C474" s="66" t="s">
        <v>334</v>
      </c>
      <c r="D474" s="36">
        <f>D475</f>
        <v>6</v>
      </c>
      <c r="E474" s="36">
        <f t="shared" si="191"/>
        <v>46</v>
      </c>
      <c r="F474" s="36">
        <f t="shared" si="191"/>
        <v>46</v>
      </c>
    </row>
    <row r="475" spans="1:6">
      <c r="A475" s="86">
        <v>9930020500</v>
      </c>
      <c r="B475" s="1" t="s">
        <v>335</v>
      </c>
      <c r="C475" s="69" t="s">
        <v>332</v>
      </c>
      <c r="D475" s="36">
        <f>'№ 6'!E697</f>
        <v>6</v>
      </c>
      <c r="E475" s="36">
        <f>'№ 6'!F697</f>
        <v>46</v>
      </c>
      <c r="F475" s="36">
        <f>'№ 6'!G697</f>
        <v>46</v>
      </c>
    </row>
    <row r="476" spans="1:6" ht="47.25">
      <c r="A476" s="86">
        <v>9930051200</v>
      </c>
      <c r="B476" s="86"/>
      <c r="C476" s="87" t="s">
        <v>190</v>
      </c>
      <c r="D476" s="36">
        <f>D477</f>
        <v>28.6</v>
      </c>
      <c r="E476" s="36">
        <f t="shared" ref="E476:F477" si="192">E477</f>
        <v>29.9</v>
      </c>
      <c r="F476" s="36">
        <f t="shared" si="192"/>
        <v>30.9</v>
      </c>
    </row>
    <row r="477" spans="1:6" ht="31.5">
      <c r="A477" s="86">
        <v>9930051200</v>
      </c>
      <c r="B477" s="86" t="s">
        <v>72</v>
      </c>
      <c r="C477" s="87" t="s">
        <v>102</v>
      </c>
      <c r="D477" s="36">
        <f>D478</f>
        <v>28.6</v>
      </c>
      <c r="E477" s="36">
        <f t="shared" si="192"/>
        <v>29.9</v>
      </c>
      <c r="F477" s="36">
        <f t="shared" si="192"/>
        <v>30.9</v>
      </c>
    </row>
    <row r="478" spans="1:6" ht="31.5">
      <c r="A478" s="86">
        <v>9930051200</v>
      </c>
      <c r="B478" s="86">
        <v>240</v>
      </c>
      <c r="C478" s="87" t="s">
        <v>315</v>
      </c>
      <c r="D478" s="36">
        <f>'№ 5'!F38</f>
        <v>28.6</v>
      </c>
      <c r="E478" s="36">
        <f>'№ 5'!G38</f>
        <v>29.9</v>
      </c>
      <c r="F478" s="36">
        <f>'№ 5'!H38</f>
        <v>30.9</v>
      </c>
    </row>
    <row r="479" spans="1:6" ht="31.5">
      <c r="A479" s="86">
        <v>9990000000</v>
      </c>
      <c r="B479" s="86"/>
      <c r="C479" s="87" t="s">
        <v>176</v>
      </c>
      <c r="D479" s="36">
        <f>D480+D483+D494+D518</f>
        <v>72536.399999999994</v>
      </c>
      <c r="E479" s="36">
        <f>E480+E483+E494+E518</f>
        <v>72760.600000000006</v>
      </c>
      <c r="F479" s="36">
        <f>F480+F483+F494+F518</f>
        <v>72812.800000000003</v>
      </c>
    </row>
    <row r="480" spans="1:6">
      <c r="A480" s="86">
        <v>9990021000</v>
      </c>
      <c r="B480" s="24"/>
      <c r="C480" s="87" t="s">
        <v>177</v>
      </c>
      <c r="D480" s="36">
        <f>D481</f>
        <v>903.3</v>
      </c>
      <c r="E480" s="36">
        <f t="shared" ref="E480:F481" si="193">E481</f>
        <v>1479</v>
      </c>
      <c r="F480" s="36">
        <f t="shared" si="193"/>
        <v>1479</v>
      </c>
    </row>
    <row r="481" spans="1:6" ht="63">
      <c r="A481" s="86">
        <v>9990021000</v>
      </c>
      <c r="B481" s="86" t="s">
        <v>71</v>
      </c>
      <c r="C481" s="87" t="s">
        <v>1</v>
      </c>
      <c r="D481" s="36">
        <f>D482</f>
        <v>903.3</v>
      </c>
      <c r="E481" s="36">
        <f t="shared" si="193"/>
        <v>1479</v>
      </c>
      <c r="F481" s="36">
        <f t="shared" si="193"/>
        <v>1479</v>
      </c>
    </row>
    <row r="482" spans="1:6" ht="31.5">
      <c r="A482" s="86">
        <v>9990021000</v>
      </c>
      <c r="B482" s="86">
        <v>120</v>
      </c>
      <c r="C482" s="87" t="s">
        <v>319</v>
      </c>
      <c r="D482" s="36">
        <f>'№ 6'!E14</f>
        <v>903.3</v>
      </c>
      <c r="E482" s="36">
        <f>'№ 6'!F14</f>
        <v>1479</v>
      </c>
      <c r="F482" s="36">
        <f>'№ 6'!G14</f>
        <v>1479</v>
      </c>
    </row>
    <row r="483" spans="1:6" ht="31.5">
      <c r="A483" s="86">
        <v>9990100000</v>
      </c>
      <c r="B483" s="86"/>
      <c r="C483" s="87" t="s">
        <v>197</v>
      </c>
      <c r="D483" s="36">
        <f>D484+D487</f>
        <v>3501</v>
      </c>
      <c r="E483" s="36">
        <f t="shared" ref="E483:F483" si="194">E484+E487</f>
        <v>4134</v>
      </c>
      <c r="F483" s="36">
        <f t="shared" si="194"/>
        <v>4134</v>
      </c>
    </row>
    <row r="484" spans="1:6">
      <c r="A484" s="86">
        <v>9990122000</v>
      </c>
      <c r="B484" s="86"/>
      <c r="C484" s="87" t="s">
        <v>198</v>
      </c>
      <c r="D484" s="36">
        <f>D485</f>
        <v>0</v>
      </c>
      <c r="E484" s="36">
        <f t="shared" ref="E484:F485" si="195">E485</f>
        <v>1208.5999999999999</v>
      </c>
      <c r="F484" s="36">
        <f t="shared" si="195"/>
        <v>1208.5999999999999</v>
      </c>
    </row>
    <row r="485" spans="1:6" ht="63">
      <c r="A485" s="86">
        <v>9990122000</v>
      </c>
      <c r="B485" s="88" t="s">
        <v>71</v>
      </c>
      <c r="C485" s="87" t="s">
        <v>1</v>
      </c>
      <c r="D485" s="36">
        <f>D486</f>
        <v>0</v>
      </c>
      <c r="E485" s="36">
        <f t="shared" si="195"/>
        <v>1208.5999999999999</v>
      </c>
      <c r="F485" s="36">
        <f t="shared" si="195"/>
        <v>1208.5999999999999</v>
      </c>
    </row>
    <row r="486" spans="1:6" ht="31.5">
      <c r="A486" s="86">
        <v>9990122000</v>
      </c>
      <c r="B486" s="86">
        <v>120</v>
      </c>
      <c r="C486" s="87" t="s">
        <v>319</v>
      </c>
      <c r="D486" s="36">
        <f>'№ 6'!E21</f>
        <v>0</v>
      </c>
      <c r="E486" s="36">
        <f>'№ 6'!F21</f>
        <v>1208.5999999999999</v>
      </c>
      <c r="F486" s="36">
        <f>'№ 6'!G21</f>
        <v>1208.5999999999999</v>
      </c>
    </row>
    <row r="487" spans="1:6" ht="31.5">
      <c r="A487" s="86">
        <v>9990123000</v>
      </c>
      <c r="B487" s="86"/>
      <c r="C487" s="87" t="s">
        <v>199</v>
      </c>
      <c r="D487" s="36">
        <f>D488+D490+D492</f>
        <v>3501</v>
      </c>
      <c r="E487" s="36">
        <f t="shared" ref="E487:F487" si="196">E488+E490+E492</f>
        <v>2925.3999999999996</v>
      </c>
      <c r="F487" s="36">
        <f t="shared" si="196"/>
        <v>2925.3999999999996</v>
      </c>
    </row>
    <row r="488" spans="1:6" ht="63">
      <c r="A488" s="86">
        <v>9990123000</v>
      </c>
      <c r="B488" s="86" t="s">
        <v>71</v>
      </c>
      <c r="C488" s="87" t="s">
        <v>1</v>
      </c>
      <c r="D488" s="36">
        <f>D489</f>
        <v>2399</v>
      </c>
      <c r="E488" s="36">
        <f t="shared" ref="E488:F488" si="197">E489</f>
        <v>2394</v>
      </c>
      <c r="F488" s="36">
        <f t="shared" si="197"/>
        <v>2394</v>
      </c>
    </row>
    <row r="489" spans="1:6" ht="31.5">
      <c r="A489" s="86">
        <v>9990123000</v>
      </c>
      <c r="B489" s="86">
        <v>120</v>
      </c>
      <c r="C489" s="87" t="s">
        <v>319</v>
      </c>
      <c r="D489" s="36">
        <f>'№ 6'!E24</f>
        <v>2399</v>
      </c>
      <c r="E489" s="36">
        <f>'№ 6'!F24</f>
        <v>2394</v>
      </c>
      <c r="F489" s="36">
        <f>'№ 6'!G24</f>
        <v>2394</v>
      </c>
    </row>
    <row r="490" spans="1:6" ht="31.5">
      <c r="A490" s="86">
        <v>9990123000</v>
      </c>
      <c r="B490" s="88" t="s">
        <v>72</v>
      </c>
      <c r="C490" s="87" t="s">
        <v>102</v>
      </c>
      <c r="D490" s="36">
        <f>D491</f>
        <v>1102</v>
      </c>
      <c r="E490" s="36">
        <f t="shared" ref="E490:F490" si="198">E491</f>
        <v>529.20000000000005</v>
      </c>
      <c r="F490" s="36">
        <f t="shared" si="198"/>
        <v>529.20000000000005</v>
      </c>
    </row>
    <row r="491" spans="1:6" ht="31.5">
      <c r="A491" s="86">
        <v>9990123000</v>
      </c>
      <c r="B491" s="86">
        <v>240</v>
      </c>
      <c r="C491" s="87" t="s">
        <v>315</v>
      </c>
      <c r="D491" s="36">
        <f>'№ 6'!E26</f>
        <v>1102</v>
      </c>
      <c r="E491" s="36">
        <f>'№ 6'!F26</f>
        <v>529.20000000000005</v>
      </c>
      <c r="F491" s="36">
        <f>'№ 6'!G26</f>
        <v>529.20000000000005</v>
      </c>
    </row>
    <row r="492" spans="1:6">
      <c r="A492" s="86">
        <v>9990123000</v>
      </c>
      <c r="B492" s="86" t="s">
        <v>73</v>
      </c>
      <c r="C492" s="87" t="s">
        <v>74</v>
      </c>
      <c r="D492" s="36">
        <f>D493</f>
        <v>0</v>
      </c>
      <c r="E492" s="36">
        <f t="shared" ref="E492:F492" si="199">E493</f>
        <v>2.2000000000000002</v>
      </c>
      <c r="F492" s="36">
        <f t="shared" si="199"/>
        <v>2.2000000000000002</v>
      </c>
    </row>
    <row r="493" spans="1:6">
      <c r="A493" s="86">
        <v>9990123000</v>
      </c>
      <c r="B493" s="86">
        <v>850</v>
      </c>
      <c r="C493" s="87" t="s">
        <v>111</v>
      </c>
      <c r="D493" s="36">
        <f>'№ 6'!E28</f>
        <v>0</v>
      </c>
      <c r="E493" s="36">
        <f>'№ 6'!F28</f>
        <v>2.2000000000000002</v>
      </c>
      <c r="F493" s="36">
        <f>'№ 6'!G28</f>
        <v>2.2000000000000002</v>
      </c>
    </row>
    <row r="494" spans="1:6" ht="31.5">
      <c r="A494" s="86">
        <v>9990200000</v>
      </c>
      <c r="B494" s="24"/>
      <c r="C494" s="87" t="s">
        <v>129</v>
      </c>
      <c r="D494" s="36">
        <f>D505+D510+D495+D500+D513</f>
        <v>42362.999999999993</v>
      </c>
      <c r="E494" s="36">
        <f>E505+E510+E495+E500+E513</f>
        <v>38465</v>
      </c>
      <c r="F494" s="36">
        <f>F505+F510+F495+F500+F513</f>
        <v>38517.200000000004</v>
      </c>
    </row>
    <row r="495" spans="1:6" ht="47.25">
      <c r="A495" s="86">
        <v>9990210510</v>
      </c>
      <c r="B495" s="86"/>
      <c r="C495" s="87" t="s">
        <v>179</v>
      </c>
      <c r="D495" s="36">
        <f>D496+D498</f>
        <v>656.6</v>
      </c>
      <c r="E495" s="36">
        <f t="shared" ref="E495:F495" si="200">E496+E498</f>
        <v>656.6</v>
      </c>
      <c r="F495" s="36">
        <f t="shared" si="200"/>
        <v>656.6</v>
      </c>
    </row>
    <row r="496" spans="1:6" ht="63">
      <c r="A496" s="86">
        <v>9990210510</v>
      </c>
      <c r="B496" s="86" t="s">
        <v>71</v>
      </c>
      <c r="C496" s="87" t="s">
        <v>1</v>
      </c>
      <c r="D496" s="36">
        <f>D497</f>
        <v>575</v>
      </c>
      <c r="E496" s="36">
        <f t="shared" ref="E496:F496" si="201">E497</f>
        <v>575</v>
      </c>
      <c r="F496" s="36">
        <f t="shared" si="201"/>
        <v>575</v>
      </c>
    </row>
    <row r="497" spans="1:6" ht="31.5">
      <c r="A497" s="86">
        <v>9990210510</v>
      </c>
      <c r="B497" s="86">
        <v>120</v>
      </c>
      <c r="C497" s="87" t="s">
        <v>319</v>
      </c>
      <c r="D497" s="36">
        <f>'№ 6'!E35</f>
        <v>575</v>
      </c>
      <c r="E497" s="36">
        <f>'№ 6'!F35</f>
        <v>575</v>
      </c>
      <c r="F497" s="36">
        <f>'№ 6'!G35</f>
        <v>575</v>
      </c>
    </row>
    <row r="498" spans="1:6" ht="31.5">
      <c r="A498" s="86">
        <v>9990210510</v>
      </c>
      <c r="B498" s="86" t="s">
        <v>72</v>
      </c>
      <c r="C498" s="87" t="s">
        <v>102</v>
      </c>
      <c r="D498" s="36">
        <f>D499</f>
        <v>81.599999999999994</v>
      </c>
      <c r="E498" s="36">
        <f t="shared" ref="E498:F498" si="202">E499</f>
        <v>81.599999999999994</v>
      </c>
      <c r="F498" s="36">
        <f t="shared" si="202"/>
        <v>81.599999999999994</v>
      </c>
    </row>
    <row r="499" spans="1:6" ht="31.5">
      <c r="A499" s="86">
        <v>9990210510</v>
      </c>
      <c r="B499" s="86">
        <v>240</v>
      </c>
      <c r="C499" s="87" t="s">
        <v>315</v>
      </c>
      <c r="D499" s="36">
        <f>'№ 6'!E37</f>
        <v>81.599999999999994</v>
      </c>
      <c r="E499" s="36">
        <f>'№ 6'!F37</f>
        <v>81.599999999999994</v>
      </c>
      <c r="F499" s="36">
        <f>'№ 6'!G37</f>
        <v>81.599999999999994</v>
      </c>
    </row>
    <row r="500" spans="1:6" ht="63">
      <c r="A500" s="86">
        <v>9990210540</v>
      </c>
      <c r="B500" s="86"/>
      <c r="C500" s="87" t="s">
        <v>186</v>
      </c>
      <c r="D500" s="36">
        <f>D501+D503</f>
        <v>264</v>
      </c>
      <c r="E500" s="36">
        <f t="shared" ref="E500:F500" si="203">E501+E503</f>
        <v>264</v>
      </c>
      <c r="F500" s="36">
        <f t="shared" si="203"/>
        <v>264</v>
      </c>
    </row>
    <row r="501" spans="1:6" ht="63">
      <c r="A501" s="86">
        <v>9990210540</v>
      </c>
      <c r="B501" s="86" t="s">
        <v>71</v>
      </c>
      <c r="C501" s="87" t="s">
        <v>1</v>
      </c>
      <c r="D501" s="36">
        <f>D502</f>
        <v>256.3</v>
      </c>
      <c r="E501" s="36">
        <f t="shared" ref="E501:F501" si="204">E502</f>
        <v>256.3</v>
      </c>
      <c r="F501" s="36">
        <f t="shared" si="204"/>
        <v>256.3</v>
      </c>
    </row>
    <row r="502" spans="1:6" ht="31.5">
      <c r="A502" s="86">
        <v>9990210540</v>
      </c>
      <c r="B502" s="86">
        <v>120</v>
      </c>
      <c r="C502" s="87" t="s">
        <v>319</v>
      </c>
      <c r="D502" s="36">
        <f>'№ 6'!E150</f>
        <v>256.3</v>
      </c>
      <c r="E502" s="36">
        <f>'№ 6'!F150</f>
        <v>256.3</v>
      </c>
      <c r="F502" s="36">
        <f>'№ 6'!G150</f>
        <v>256.3</v>
      </c>
    </row>
    <row r="503" spans="1:6" ht="31.5">
      <c r="A503" s="86">
        <v>9990210540</v>
      </c>
      <c r="B503" s="86" t="s">
        <v>72</v>
      </c>
      <c r="C503" s="87" t="s">
        <v>102</v>
      </c>
      <c r="D503" s="36">
        <f>D504</f>
        <v>7.7</v>
      </c>
      <c r="E503" s="36">
        <f t="shared" ref="E503:F503" si="205">E504</f>
        <v>7.7</v>
      </c>
      <c r="F503" s="36">
        <f t="shared" si="205"/>
        <v>7.7</v>
      </c>
    </row>
    <row r="504" spans="1:6" ht="31.5">
      <c r="A504" s="86">
        <v>9990210540</v>
      </c>
      <c r="B504" s="86">
        <v>240</v>
      </c>
      <c r="C504" s="87" t="s">
        <v>315</v>
      </c>
      <c r="D504" s="36">
        <f>'№ 6'!E152</f>
        <v>7.7</v>
      </c>
      <c r="E504" s="36">
        <f>'№ 6'!F152</f>
        <v>7.7</v>
      </c>
      <c r="F504" s="36">
        <f>'№ 6'!G152</f>
        <v>7.7</v>
      </c>
    </row>
    <row r="505" spans="1:6" ht="47.25">
      <c r="A505" s="86">
        <v>9990225000</v>
      </c>
      <c r="B505" s="86"/>
      <c r="C505" s="87" t="s">
        <v>130</v>
      </c>
      <c r="D505" s="36">
        <f>D506+D508</f>
        <v>38572.799999999996</v>
      </c>
      <c r="E505" s="36">
        <f t="shared" ref="E505:F505" si="206">E506+E508</f>
        <v>35500.9</v>
      </c>
      <c r="F505" s="36">
        <f t="shared" si="206"/>
        <v>35500.9</v>
      </c>
    </row>
    <row r="506" spans="1:6" ht="63">
      <c r="A506" s="86">
        <v>9990225000</v>
      </c>
      <c r="B506" s="86" t="s">
        <v>71</v>
      </c>
      <c r="C506" s="87" t="s">
        <v>1</v>
      </c>
      <c r="D506" s="36">
        <f>D507</f>
        <v>38455.199999999997</v>
      </c>
      <c r="E506" s="36">
        <f t="shared" ref="E506:F506" si="207">E507</f>
        <v>35322.6</v>
      </c>
      <c r="F506" s="36">
        <f t="shared" si="207"/>
        <v>35322.6</v>
      </c>
    </row>
    <row r="507" spans="1:6" ht="31.5">
      <c r="A507" s="86">
        <v>9990225000</v>
      </c>
      <c r="B507" s="86">
        <v>120</v>
      </c>
      <c r="C507" s="87" t="s">
        <v>319</v>
      </c>
      <c r="D507" s="36">
        <f>'№ 6'!E540+'№ 6'!E155+'№ 6'!E58+'№ 6'!E40</f>
        <v>38455.199999999997</v>
      </c>
      <c r="E507" s="36">
        <f>'№ 6'!F540+'№ 6'!F155+'№ 6'!F58+'№ 6'!F40</f>
        <v>35322.6</v>
      </c>
      <c r="F507" s="36">
        <f>'№ 6'!G540+'№ 6'!G155+'№ 6'!G58+'№ 6'!G40</f>
        <v>35322.6</v>
      </c>
    </row>
    <row r="508" spans="1:6">
      <c r="A508" s="86">
        <v>9990225000</v>
      </c>
      <c r="B508" s="86" t="s">
        <v>73</v>
      </c>
      <c r="C508" s="87" t="s">
        <v>74</v>
      </c>
      <c r="D508" s="36">
        <f>D509</f>
        <v>117.60000000000001</v>
      </c>
      <c r="E508" s="36">
        <f t="shared" ref="E508:F508" si="208">E509</f>
        <v>178.3</v>
      </c>
      <c r="F508" s="36">
        <f t="shared" si="208"/>
        <v>178.3</v>
      </c>
    </row>
    <row r="509" spans="1:6">
      <c r="A509" s="86">
        <v>9990225000</v>
      </c>
      <c r="B509" s="86">
        <v>850</v>
      </c>
      <c r="C509" s="87" t="s">
        <v>111</v>
      </c>
      <c r="D509" s="36">
        <f>'№ 6'!E42+'№ 6'!E60</f>
        <v>117.60000000000001</v>
      </c>
      <c r="E509" s="36">
        <f>'№ 6'!F42+'№ 6'!F60</f>
        <v>178.3</v>
      </c>
      <c r="F509" s="36">
        <f>'№ 6'!G42+'№ 6'!G60</f>
        <v>178.3</v>
      </c>
    </row>
    <row r="510" spans="1:6" ht="47.25">
      <c r="A510" s="86">
        <v>9990226000</v>
      </c>
      <c r="B510" s="86"/>
      <c r="C510" s="87" t="s">
        <v>178</v>
      </c>
      <c r="D510" s="36">
        <f>D511</f>
        <v>977.19999999999993</v>
      </c>
      <c r="E510" s="36">
        <f t="shared" ref="E510:F510" si="209">E511</f>
        <v>662.3</v>
      </c>
      <c r="F510" s="36">
        <f t="shared" si="209"/>
        <v>662.3</v>
      </c>
    </row>
    <row r="511" spans="1:6" ht="63">
      <c r="A511" s="86">
        <v>9990226000</v>
      </c>
      <c r="B511" s="86" t="s">
        <v>71</v>
      </c>
      <c r="C511" s="87" t="s">
        <v>1</v>
      </c>
      <c r="D511" s="36">
        <f>D512</f>
        <v>977.19999999999993</v>
      </c>
      <c r="E511" s="36">
        <f t="shared" ref="E511:F511" si="210">E512</f>
        <v>662.3</v>
      </c>
      <c r="F511" s="36">
        <f t="shared" si="210"/>
        <v>662.3</v>
      </c>
    </row>
    <row r="512" spans="1:6" ht="31.5">
      <c r="A512" s="86">
        <v>9990226000</v>
      </c>
      <c r="B512" s="86">
        <v>120</v>
      </c>
      <c r="C512" s="87" t="s">
        <v>319</v>
      </c>
      <c r="D512" s="36">
        <f>'№ 6'!E173+'№ 6'!E158+'№ 6'!E45</f>
        <v>977.19999999999993</v>
      </c>
      <c r="E512" s="36">
        <f>'№ 6'!F173+'№ 6'!F158+'№ 6'!F45</f>
        <v>662.3</v>
      </c>
      <c r="F512" s="36">
        <f>'№ 6'!G173+'№ 6'!G158+'№ 6'!G45</f>
        <v>662.3</v>
      </c>
    </row>
    <row r="513" spans="1:6" ht="31.5">
      <c r="A513" s="86">
        <v>9990259300</v>
      </c>
      <c r="B513" s="86"/>
      <c r="C513" s="87" t="s">
        <v>193</v>
      </c>
      <c r="D513" s="36">
        <f>D514+D516</f>
        <v>1892.4</v>
      </c>
      <c r="E513" s="36">
        <f>E514+E516</f>
        <v>1381.2</v>
      </c>
      <c r="F513" s="36">
        <f>F514+F516</f>
        <v>1433.4</v>
      </c>
    </row>
    <row r="514" spans="1:6" ht="63">
      <c r="A514" s="86">
        <v>9990259300</v>
      </c>
      <c r="B514" s="86" t="s">
        <v>71</v>
      </c>
      <c r="C514" s="87" t="s">
        <v>1</v>
      </c>
      <c r="D514" s="36">
        <f>D515</f>
        <v>1316.7</v>
      </c>
      <c r="E514" s="36">
        <f>E515</f>
        <v>1212.2</v>
      </c>
      <c r="F514" s="36">
        <f>F515</f>
        <v>1212.2</v>
      </c>
    </row>
    <row r="515" spans="1:6" ht="31.5">
      <c r="A515" s="86">
        <v>9990259300</v>
      </c>
      <c r="B515" s="86">
        <v>120</v>
      </c>
      <c r="C515" s="87" t="s">
        <v>319</v>
      </c>
      <c r="D515" s="36">
        <f>'№ 6'!E176</f>
        <v>1316.7</v>
      </c>
      <c r="E515" s="36">
        <f>'№ 6'!F176</f>
        <v>1212.2</v>
      </c>
      <c r="F515" s="36">
        <f>'№ 6'!G176</f>
        <v>1212.2</v>
      </c>
    </row>
    <row r="516" spans="1:6" ht="31.5">
      <c r="A516" s="86">
        <v>9990259300</v>
      </c>
      <c r="B516" s="86" t="s">
        <v>72</v>
      </c>
      <c r="C516" s="87" t="s">
        <v>102</v>
      </c>
      <c r="D516" s="36">
        <f>D517</f>
        <v>575.70000000000005</v>
      </c>
      <c r="E516" s="36">
        <f t="shared" ref="E516:F516" si="211">E517</f>
        <v>169</v>
      </c>
      <c r="F516" s="36">
        <f t="shared" si="211"/>
        <v>221.2</v>
      </c>
    </row>
    <row r="517" spans="1:6" ht="31.5">
      <c r="A517" s="86">
        <v>9990259300</v>
      </c>
      <c r="B517" s="86">
        <v>240</v>
      </c>
      <c r="C517" s="87" t="s">
        <v>315</v>
      </c>
      <c r="D517" s="36">
        <f>'№ 6'!E178</f>
        <v>575.70000000000005</v>
      </c>
      <c r="E517" s="36">
        <f>'№ 6'!F178</f>
        <v>169</v>
      </c>
      <c r="F517" s="36">
        <f>'№ 6'!G178</f>
        <v>221.2</v>
      </c>
    </row>
    <row r="518" spans="1:6" ht="31.5">
      <c r="A518" s="86">
        <v>9990300000</v>
      </c>
      <c r="B518" s="86"/>
      <c r="C518" s="87" t="s">
        <v>191</v>
      </c>
      <c r="D518" s="36">
        <f>D519+D521+D523</f>
        <v>25769.1</v>
      </c>
      <c r="E518" s="36">
        <f t="shared" ref="E518:F518" si="212">E519+E521+E523</f>
        <v>28682.6</v>
      </c>
      <c r="F518" s="36">
        <f t="shared" si="212"/>
        <v>28682.6</v>
      </c>
    </row>
    <row r="519" spans="1:6" ht="63">
      <c r="A519" s="86">
        <v>9990300000</v>
      </c>
      <c r="B519" s="86" t="s">
        <v>71</v>
      </c>
      <c r="C519" s="87" t="s">
        <v>1</v>
      </c>
      <c r="D519" s="36">
        <f>D520</f>
        <v>19019.599999999999</v>
      </c>
      <c r="E519" s="36">
        <f t="shared" ref="E519:F519" si="213">E520</f>
        <v>20347.599999999999</v>
      </c>
      <c r="F519" s="36">
        <f t="shared" si="213"/>
        <v>20347.599999999999</v>
      </c>
    </row>
    <row r="520" spans="1:6">
      <c r="A520" s="86">
        <v>9990300000</v>
      </c>
      <c r="B520" s="86">
        <v>110</v>
      </c>
      <c r="C520" s="57" t="s">
        <v>192</v>
      </c>
      <c r="D520" s="36">
        <f>'№ 6'!E161</f>
        <v>19019.599999999999</v>
      </c>
      <c r="E520" s="36">
        <f>'№ 6'!F161</f>
        <v>20347.599999999999</v>
      </c>
      <c r="F520" s="36">
        <f>'№ 6'!G161</f>
        <v>20347.599999999999</v>
      </c>
    </row>
    <row r="521" spans="1:6" ht="31.5">
      <c r="A521" s="86">
        <v>9990300000</v>
      </c>
      <c r="B521" s="86" t="s">
        <v>72</v>
      </c>
      <c r="C521" s="87" t="s">
        <v>102</v>
      </c>
      <c r="D521" s="36">
        <f>D522</f>
        <v>6560.4</v>
      </c>
      <c r="E521" s="36">
        <f t="shared" ref="E521:F521" si="214">E522</f>
        <v>7883.8</v>
      </c>
      <c r="F521" s="36">
        <f t="shared" si="214"/>
        <v>7883.8</v>
      </c>
    </row>
    <row r="522" spans="1:6" ht="31.5">
      <c r="A522" s="86">
        <v>9990300000</v>
      </c>
      <c r="B522" s="86">
        <v>240</v>
      </c>
      <c r="C522" s="87" t="s">
        <v>315</v>
      </c>
      <c r="D522" s="36">
        <f>'№ 6'!E163</f>
        <v>6560.4</v>
      </c>
      <c r="E522" s="36">
        <f>'№ 6'!F163</f>
        <v>7883.8</v>
      </c>
      <c r="F522" s="36">
        <f>'№ 6'!G163</f>
        <v>7883.8</v>
      </c>
    </row>
    <row r="523" spans="1:6">
      <c r="A523" s="86">
        <v>9990300000</v>
      </c>
      <c r="B523" s="86" t="s">
        <v>73</v>
      </c>
      <c r="C523" s="87" t="s">
        <v>74</v>
      </c>
      <c r="D523" s="36">
        <f>D524</f>
        <v>189.10000000000002</v>
      </c>
      <c r="E523" s="36">
        <f t="shared" ref="E523:F523" si="215">E524</f>
        <v>451.2</v>
      </c>
      <c r="F523" s="36">
        <f t="shared" si="215"/>
        <v>451.2</v>
      </c>
    </row>
    <row r="524" spans="1:6">
      <c r="A524" s="86">
        <v>9990300000</v>
      </c>
      <c r="B524" s="86">
        <v>850</v>
      </c>
      <c r="C524" s="87" t="s">
        <v>111</v>
      </c>
      <c r="D524" s="36">
        <f>'№ 6'!E165+'№ 6'!E542</f>
        <v>189.10000000000002</v>
      </c>
      <c r="E524" s="36">
        <f>'№ 6'!F165+'№ 6'!F542</f>
        <v>451.2</v>
      </c>
      <c r="F524" s="36">
        <f>'№ 6'!G165+'№ 6'!G542</f>
        <v>451.2</v>
      </c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ageMargins left="0.78740157480314965" right="0.19685039370078741" top="0.19685039370078741" bottom="0.19685039370078741" header="0.31496062992125984" footer="0.31496062992125984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F2" sqref="F2"/>
    </sheetView>
  </sheetViews>
  <sheetFormatPr defaultColWidth="8.85546875" defaultRowHeight="15.75"/>
  <cols>
    <col min="1" max="1" width="55.28515625" style="3" customWidth="1"/>
    <col min="2" max="2" width="15" style="3" customWidth="1"/>
    <col min="3" max="3" width="12" style="3" customWidth="1"/>
    <col min="4" max="4" width="11.85546875" style="3" customWidth="1"/>
    <col min="5" max="5" width="51.28515625" style="3" customWidth="1"/>
    <col min="6" max="6" width="6.28515625" style="3" customWidth="1"/>
    <col min="7" max="7" width="15" style="3" customWidth="1"/>
    <col min="8" max="8" width="10.85546875" style="3" customWidth="1"/>
    <col min="9" max="9" width="11.140625" style="3" customWidth="1"/>
    <col min="10" max="10" width="10.7109375" style="3" customWidth="1"/>
    <col min="11" max="16384" width="8.85546875" style="3"/>
  </cols>
  <sheetData>
    <row r="1" spans="1:10" ht="46.9" customHeight="1">
      <c r="A1" s="95" t="s">
        <v>69</v>
      </c>
      <c r="B1" s="95" t="s">
        <v>69</v>
      </c>
      <c r="C1" s="95" t="s">
        <v>69</v>
      </c>
      <c r="D1" s="95" t="s">
        <v>69</v>
      </c>
      <c r="E1" s="95" t="s">
        <v>69</v>
      </c>
      <c r="F1" s="230" t="s">
        <v>786</v>
      </c>
      <c r="G1" s="230"/>
      <c r="H1" s="230"/>
      <c r="I1" s="230"/>
      <c r="J1" s="230"/>
    </row>
    <row r="2" spans="1:10" ht="12.75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39.75" customHeight="1">
      <c r="A3" s="231" t="s">
        <v>454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63.6" customHeight="1">
      <c r="A4" s="235" t="s">
        <v>455</v>
      </c>
      <c r="B4" s="235" t="s">
        <v>456</v>
      </c>
      <c r="C4" s="235"/>
      <c r="D4" s="235"/>
      <c r="E4" s="235"/>
      <c r="F4" s="235" t="s">
        <v>457</v>
      </c>
      <c r="G4" s="235"/>
      <c r="H4" s="235" t="s">
        <v>458</v>
      </c>
      <c r="I4" s="235"/>
      <c r="J4" s="235"/>
    </row>
    <row r="5" spans="1:10" ht="41.65" customHeight="1">
      <c r="A5" s="235" t="s">
        <v>455</v>
      </c>
      <c r="B5" s="98" t="s">
        <v>459</v>
      </c>
      <c r="C5" s="98" t="s">
        <v>460</v>
      </c>
      <c r="D5" s="98" t="s">
        <v>461</v>
      </c>
      <c r="E5" s="98" t="s">
        <v>462</v>
      </c>
      <c r="F5" s="98" t="s">
        <v>38</v>
      </c>
      <c r="G5" s="98" t="s">
        <v>463</v>
      </c>
      <c r="H5" s="98" t="s">
        <v>464</v>
      </c>
      <c r="I5" s="98" t="s">
        <v>465</v>
      </c>
      <c r="J5" s="98" t="s">
        <v>466</v>
      </c>
    </row>
    <row r="6" spans="1:10" ht="17.25" customHeight="1">
      <c r="A6" s="98" t="s">
        <v>4</v>
      </c>
      <c r="B6" s="98" t="s">
        <v>80</v>
      </c>
      <c r="C6" s="98" t="s">
        <v>81</v>
      </c>
      <c r="D6" s="98" t="s">
        <v>82</v>
      </c>
      <c r="E6" s="98" t="s">
        <v>83</v>
      </c>
      <c r="F6" s="98" t="s">
        <v>84</v>
      </c>
      <c r="G6" s="98" t="s">
        <v>100</v>
      </c>
      <c r="H6" s="98">
        <v>8</v>
      </c>
      <c r="I6" s="98">
        <v>9</v>
      </c>
      <c r="J6" s="98">
        <v>10</v>
      </c>
    </row>
    <row r="7" spans="1:10" ht="36" customHeight="1">
      <c r="A7" s="24" t="s">
        <v>157</v>
      </c>
      <c r="B7" s="99" t="s">
        <v>467</v>
      </c>
      <c r="C7" s="98" t="s">
        <v>468</v>
      </c>
      <c r="D7" s="98" t="s">
        <v>469</v>
      </c>
      <c r="E7" s="99" t="s">
        <v>470</v>
      </c>
      <c r="F7" s="98" t="s">
        <v>40</v>
      </c>
      <c r="G7" s="10" t="s">
        <v>250</v>
      </c>
      <c r="H7" s="7">
        <f>'№ 6'!E517</f>
        <v>36</v>
      </c>
      <c r="I7" s="7">
        <f>'№ 6'!F517</f>
        <v>36</v>
      </c>
      <c r="J7" s="7">
        <f>'№ 6'!G517</f>
        <v>36</v>
      </c>
    </row>
    <row r="8" spans="1:10" ht="88.5" customHeight="1">
      <c r="A8" s="99" t="s">
        <v>70</v>
      </c>
      <c r="B8" s="99" t="s">
        <v>467</v>
      </c>
      <c r="C8" s="131">
        <v>42962</v>
      </c>
      <c r="D8" s="98">
        <v>109</v>
      </c>
      <c r="E8" s="99" t="s">
        <v>471</v>
      </c>
      <c r="F8" s="98" t="s">
        <v>56</v>
      </c>
      <c r="G8" s="96">
        <v>1240420390</v>
      </c>
      <c r="H8" s="7">
        <f>'№ 6'!E597</f>
        <v>1114.1999999999998</v>
      </c>
      <c r="I8" s="7">
        <f>'№ 6'!F597</f>
        <v>1639.8999999999999</v>
      </c>
      <c r="J8" s="7">
        <f>'№ 6'!G597</f>
        <v>1639.8999999999999</v>
      </c>
    </row>
    <row r="9" spans="1:10" ht="37.5" customHeight="1">
      <c r="A9" s="99" t="s">
        <v>239</v>
      </c>
      <c r="B9" s="99" t="s">
        <v>467</v>
      </c>
      <c r="C9" s="98" t="s">
        <v>472</v>
      </c>
      <c r="D9" s="98" t="s">
        <v>473</v>
      </c>
      <c r="E9" s="99" t="s">
        <v>474</v>
      </c>
      <c r="F9" s="98" t="s">
        <v>42</v>
      </c>
      <c r="G9" s="97">
        <v>1240220350</v>
      </c>
      <c r="H9" s="7">
        <f>'№ 6'!E609</f>
        <v>72</v>
      </c>
      <c r="I9" s="7">
        <f>'№ 6'!F609</f>
        <v>107.1</v>
      </c>
      <c r="J9" s="7">
        <f>'№ 6'!G609</f>
        <v>107.1</v>
      </c>
    </row>
    <row r="10" spans="1:10" ht="25.15" customHeight="1">
      <c r="A10" s="5" t="s">
        <v>475</v>
      </c>
      <c r="B10" s="132" t="s">
        <v>69</v>
      </c>
      <c r="C10" s="132" t="s">
        <v>69</v>
      </c>
      <c r="D10" s="132" t="s">
        <v>69</v>
      </c>
      <c r="E10" s="132" t="s">
        <v>69</v>
      </c>
      <c r="F10" s="132" t="s">
        <v>69</v>
      </c>
      <c r="G10" s="132" t="s">
        <v>69</v>
      </c>
      <c r="H10" s="6">
        <f>H7+H8+H9</f>
        <v>1222.1999999999998</v>
      </c>
      <c r="I10" s="6">
        <f t="shared" ref="I10:J10" si="0">I7+I8+I9</f>
        <v>1782.9999999999998</v>
      </c>
      <c r="J10" s="6">
        <f t="shared" si="0"/>
        <v>1782.9999999999998</v>
      </c>
    </row>
  </sheetData>
  <mergeCells count="6">
    <mergeCell ref="F1:J1"/>
    <mergeCell ref="A3:J3"/>
    <mergeCell ref="A4:A5"/>
    <mergeCell ref="B4:E4"/>
    <mergeCell ref="F4:G4"/>
    <mergeCell ref="H4:J4"/>
  </mergeCells>
  <pageMargins left="0.59055118110236227" right="0.19685039370078741" top="0.98425196850393704" bottom="0.19685039370078741" header="0.31496062992125984" footer="0.31496062992125984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76" zoomScaleSheetLayoutView="76" workbookViewId="0">
      <selection activeCell="P14" sqref="P14"/>
    </sheetView>
  </sheetViews>
  <sheetFormatPr defaultColWidth="9.140625" defaultRowHeight="15.75"/>
  <cols>
    <col min="1" max="1" width="5.5703125" style="100" customWidth="1"/>
    <col min="2" max="2" width="29.7109375" style="101" customWidth="1"/>
    <col min="3" max="3" width="17.42578125" style="101" customWidth="1"/>
    <col min="4" max="4" width="9.5703125" style="102" customWidth="1"/>
    <col min="5" max="5" width="11.7109375" style="102" customWidth="1"/>
    <col min="6" max="6" width="13.140625" style="102" customWidth="1"/>
    <col min="7" max="7" width="10.85546875" style="103" customWidth="1"/>
    <col min="8" max="8" width="12.28515625" style="102" bestFit="1" customWidth="1"/>
    <col min="9" max="9" width="12.140625" style="102" customWidth="1"/>
    <col min="10" max="10" width="12.7109375" style="102" customWidth="1"/>
    <col min="11" max="11" width="9.28515625" style="103" customWidth="1"/>
    <col min="12" max="12" width="12.28515625" style="102" bestFit="1" customWidth="1"/>
    <col min="13" max="13" width="13.140625" style="102" customWidth="1"/>
    <col min="14" max="14" width="13.5703125" style="102" customWidth="1"/>
    <col min="15" max="15" width="9.5703125" style="103" customWidth="1"/>
    <col min="16" max="16" width="14.85546875" style="102" customWidth="1"/>
    <col min="17" max="256" width="9.140625" style="101"/>
    <col min="257" max="257" width="5.5703125" style="101" customWidth="1"/>
    <col min="258" max="258" width="33.5703125" style="101" customWidth="1"/>
    <col min="259" max="259" width="15.5703125" style="101" customWidth="1"/>
    <col min="260" max="260" width="9.5703125" style="101" customWidth="1"/>
    <col min="261" max="261" width="11.7109375" style="101" customWidth="1"/>
    <col min="262" max="262" width="13.140625" style="101" customWidth="1"/>
    <col min="263" max="263" width="10.85546875" style="101" customWidth="1"/>
    <col min="264" max="264" width="9.28515625" style="101" bestFit="1" customWidth="1"/>
    <col min="265" max="265" width="12.140625" style="101" customWidth="1"/>
    <col min="266" max="266" width="12.7109375" style="101" customWidth="1"/>
    <col min="267" max="267" width="9.28515625" style="101" customWidth="1"/>
    <col min="268" max="268" width="9.28515625" style="101" bestFit="1" customWidth="1"/>
    <col min="269" max="269" width="13.140625" style="101" customWidth="1"/>
    <col min="270" max="270" width="13.5703125" style="101" customWidth="1"/>
    <col min="271" max="271" width="9.5703125" style="101" customWidth="1"/>
    <col min="272" max="272" width="14.85546875" style="101" customWidth="1"/>
    <col min="273" max="512" width="9.140625" style="101"/>
    <col min="513" max="513" width="5.5703125" style="101" customWidth="1"/>
    <col min="514" max="514" width="33.5703125" style="101" customWidth="1"/>
    <col min="515" max="515" width="15.5703125" style="101" customWidth="1"/>
    <col min="516" max="516" width="9.5703125" style="101" customWidth="1"/>
    <col min="517" max="517" width="11.7109375" style="101" customWidth="1"/>
    <col min="518" max="518" width="13.140625" style="101" customWidth="1"/>
    <col min="519" max="519" width="10.85546875" style="101" customWidth="1"/>
    <col min="520" max="520" width="9.28515625" style="101" bestFit="1" customWidth="1"/>
    <col min="521" max="521" width="12.140625" style="101" customWidth="1"/>
    <col min="522" max="522" width="12.7109375" style="101" customWidth="1"/>
    <col min="523" max="523" width="9.28515625" style="101" customWidth="1"/>
    <col min="524" max="524" width="9.28515625" style="101" bestFit="1" customWidth="1"/>
    <col min="525" max="525" width="13.140625" style="101" customWidth="1"/>
    <col min="526" max="526" width="13.5703125" style="101" customWidth="1"/>
    <col min="527" max="527" width="9.5703125" style="101" customWidth="1"/>
    <col min="528" max="528" width="14.85546875" style="101" customWidth="1"/>
    <col min="529" max="768" width="9.140625" style="101"/>
    <col min="769" max="769" width="5.5703125" style="101" customWidth="1"/>
    <col min="770" max="770" width="33.5703125" style="101" customWidth="1"/>
    <col min="771" max="771" width="15.5703125" style="101" customWidth="1"/>
    <col min="772" max="772" width="9.5703125" style="101" customWidth="1"/>
    <col min="773" max="773" width="11.7109375" style="101" customWidth="1"/>
    <col min="774" max="774" width="13.140625" style="101" customWidth="1"/>
    <col min="775" max="775" width="10.85546875" style="101" customWidth="1"/>
    <col min="776" max="776" width="9.28515625" style="101" bestFit="1" customWidth="1"/>
    <col min="777" max="777" width="12.140625" style="101" customWidth="1"/>
    <col min="778" max="778" width="12.7109375" style="101" customWidth="1"/>
    <col min="779" max="779" width="9.28515625" style="101" customWidth="1"/>
    <col min="780" max="780" width="9.28515625" style="101" bestFit="1" customWidth="1"/>
    <col min="781" max="781" width="13.140625" style="101" customWidth="1"/>
    <col min="782" max="782" width="13.5703125" style="101" customWidth="1"/>
    <col min="783" max="783" width="9.5703125" style="101" customWidth="1"/>
    <col min="784" max="784" width="14.85546875" style="101" customWidth="1"/>
    <col min="785" max="1024" width="9.140625" style="101"/>
    <col min="1025" max="1025" width="5.5703125" style="101" customWidth="1"/>
    <col min="1026" max="1026" width="33.5703125" style="101" customWidth="1"/>
    <col min="1027" max="1027" width="15.5703125" style="101" customWidth="1"/>
    <col min="1028" max="1028" width="9.5703125" style="101" customWidth="1"/>
    <col min="1029" max="1029" width="11.7109375" style="101" customWidth="1"/>
    <col min="1030" max="1030" width="13.140625" style="101" customWidth="1"/>
    <col min="1031" max="1031" width="10.85546875" style="101" customWidth="1"/>
    <col min="1032" max="1032" width="9.28515625" style="101" bestFit="1" customWidth="1"/>
    <col min="1033" max="1033" width="12.140625" style="101" customWidth="1"/>
    <col min="1034" max="1034" width="12.7109375" style="101" customWidth="1"/>
    <col min="1035" max="1035" width="9.28515625" style="101" customWidth="1"/>
    <col min="1036" max="1036" width="9.28515625" style="101" bestFit="1" customWidth="1"/>
    <col min="1037" max="1037" width="13.140625" style="101" customWidth="1"/>
    <col min="1038" max="1038" width="13.5703125" style="101" customWidth="1"/>
    <col min="1039" max="1039" width="9.5703125" style="101" customWidth="1"/>
    <col min="1040" max="1040" width="14.85546875" style="101" customWidth="1"/>
    <col min="1041" max="1280" width="9.140625" style="101"/>
    <col min="1281" max="1281" width="5.5703125" style="101" customWidth="1"/>
    <col min="1282" max="1282" width="33.5703125" style="101" customWidth="1"/>
    <col min="1283" max="1283" width="15.5703125" style="101" customWidth="1"/>
    <col min="1284" max="1284" width="9.5703125" style="101" customWidth="1"/>
    <col min="1285" max="1285" width="11.7109375" style="101" customWidth="1"/>
    <col min="1286" max="1286" width="13.140625" style="101" customWidth="1"/>
    <col min="1287" max="1287" width="10.85546875" style="101" customWidth="1"/>
    <col min="1288" max="1288" width="9.28515625" style="101" bestFit="1" customWidth="1"/>
    <col min="1289" max="1289" width="12.140625" style="101" customWidth="1"/>
    <col min="1290" max="1290" width="12.7109375" style="101" customWidth="1"/>
    <col min="1291" max="1291" width="9.28515625" style="101" customWidth="1"/>
    <col min="1292" max="1292" width="9.28515625" style="101" bestFit="1" customWidth="1"/>
    <col min="1293" max="1293" width="13.140625" style="101" customWidth="1"/>
    <col min="1294" max="1294" width="13.5703125" style="101" customWidth="1"/>
    <col min="1295" max="1295" width="9.5703125" style="101" customWidth="1"/>
    <col min="1296" max="1296" width="14.85546875" style="101" customWidth="1"/>
    <col min="1297" max="1536" width="9.140625" style="101"/>
    <col min="1537" max="1537" width="5.5703125" style="101" customWidth="1"/>
    <col min="1538" max="1538" width="33.5703125" style="101" customWidth="1"/>
    <col min="1539" max="1539" width="15.5703125" style="101" customWidth="1"/>
    <col min="1540" max="1540" width="9.5703125" style="101" customWidth="1"/>
    <col min="1541" max="1541" width="11.7109375" style="101" customWidth="1"/>
    <col min="1542" max="1542" width="13.140625" style="101" customWidth="1"/>
    <col min="1543" max="1543" width="10.85546875" style="101" customWidth="1"/>
    <col min="1544" max="1544" width="9.28515625" style="101" bestFit="1" customWidth="1"/>
    <col min="1545" max="1545" width="12.140625" style="101" customWidth="1"/>
    <col min="1546" max="1546" width="12.7109375" style="101" customWidth="1"/>
    <col min="1547" max="1547" width="9.28515625" style="101" customWidth="1"/>
    <col min="1548" max="1548" width="9.28515625" style="101" bestFit="1" customWidth="1"/>
    <col min="1549" max="1549" width="13.140625" style="101" customWidth="1"/>
    <col min="1550" max="1550" width="13.5703125" style="101" customWidth="1"/>
    <col min="1551" max="1551" width="9.5703125" style="101" customWidth="1"/>
    <col min="1552" max="1552" width="14.85546875" style="101" customWidth="1"/>
    <col min="1553" max="1792" width="9.140625" style="101"/>
    <col min="1793" max="1793" width="5.5703125" style="101" customWidth="1"/>
    <col min="1794" max="1794" width="33.5703125" style="101" customWidth="1"/>
    <col min="1795" max="1795" width="15.5703125" style="101" customWidth="1"/>
    <col min="1796" max="1796" width="9.5703125" style="101" customWidth="1"/>
    <col min="1797" max="1797" width="11.7109375" style="101" customWidth="1"/>
    <col min="1798" max="1798" width="13.140625" style="101" customWidth="1"/>
    <col min="1799" max="1799" width="10.85546875" style="101" customWidth="1"/>
    <col min="1800" max="1800" width="9.28515625" style="101" bestFit="1" customWidth="1"/>
    <col min="1801" max="1801" width="12.140625" style="101" customWidth="1"/>
    <col min="1802" max="1802" width="12.7109375" style="101" customWidth="1"/>
    <col min="1803" max="1803" width="9.28515625" style="101" customWidth="1"/>
    <col min="1804" max="1804" width="9.28515625" style="101" bestFit="1" customWidth="1"/>
    <col min="1805" max="1805" width="13.140625" style="101" customWidth="1"/>
    <col min="1806" max="1806" width="13.5703125" style="101" customWidth="1"/>
    <col min="1807" max="1807" width="9.5703125" style="101" customWidth="1"/>
    <col min="1808" max="1808" width="14.85546875" style="101" customWidth="1"/>
    <col min="1809" max="2048" width="9.140625" style="101"/>
    <col min="2049" max="2049" width="5.5703125" style="101" customWidth="1"/>
    <col min="2050" max="2050" width="33.5703125" style="101" customWidth="1"/>
    <col min="2051" max="2051" width="15.5703125" style="101" customWidth="1"/>
    <col min="2052" max="2052" width="9.5703125" style="101" customWidth="1"/>
    <col min="2053" max="2053" width="11.7109375" style="101" customWidth="1"/>
    <col min="2054" max="2054" width="13.140625" style="101" customWidth="1"/>
    <col min="2055" max="2055" width="10.85546875" style="101" customWidth="1"/>
    <col min="2056" max="2056" width="9.28515625" style="101" bestFit="1" customWidth="1"/>
    <col min="2057" max="2057" width="12.140625" style="101" customWidth="1"/>
    <col min="2058" max="2058" width="12.7109375" style="101" customWidth="1"/>
    <col min="2059" max="2059" width="9.28515625" style="101" customWidth="1"/>
    <col min="2060" max="2060" width="9.28515625" style="101" bestFit="1" customWidth="1"/>
    <col min="2061" max="2061" width="13.140625" style="101" customWidth="1"/>
    <col min="2062" max="2062" width="13.5703125" style="101" customWidth="1"/>
    <col min="2063" max="2063" width="9.5703125" style="101" customWidth="1"/>
    <col min="2064" max="2064" width="14.85546875" style="101" customWidth="1"/>
    <col min="2065" max="2304" width="9.140625" style="101"/>
    <col min="2305" max="2305" width="5.5703125" style="101" customWidth="1"/>
    <col min="2306" max="2306" width="33.5703125" style="101" customWidth="1"/>
    <col min="2307" max="2307" width="15.5703125" style="101" customWidth="1"/>
    <col min="2308" max="2308" width="9.5703125" style="101" customWidth="1"/>
    <col min="2309" max="2309" width="11.7109375" style="101" customWidth="1"/>
    <col min="2310" max="2310" width="13.140625" style="101" customWidth="1"/>
    <col min="2311" max="2311" width="10.85546875" style="101" customWidth="1"/>
    <col min="2312" max="2312" width="9.28515625" style="101" bestFit="1" customWidth="1"/>
    <col min="2313" max="2313" width="12.140625" style="101" customWidth="1"/>
    <col min="2314" max="2314" width="12.7109375" style="101" customWidth="1"/>
    <col min="2315" max="2315" width="9.28515625" style="101" customWidth="1"/>
    <col min="2316" max="2316" width="9.28515625" style="101" bestFit="1" customWidth="1"/>
    <col min="2317" max="2317" width="13.140625" style="101" customWidth="1"/>
    <col min="2318" max="2318" width="13.5703125" style="101" customWidth="1"/>
    <col min="2319" max="2319" width="9.5703125" style="101" customWidth="1"/>
    <col min="2320" max="2320" width="14.85546875" style="101" customWidth="1"/>
    <col min="2321" max="2560" width="9.140625" style="101"/>
    <col min="2561" max="2561" width="5.5703125" style="101" customWidth="1"/>
    <col min="2562" max="2562" width="33.5703125" style="101" customWidth="1"/>
    <col min="2563" max="2563" width="15.5703125" style="101" customWidth="1"/>
    <col min="2564" max="2564" width="9.5703125" style="101" customWidth="1"/>
    <col min="2565" max="2565" width="11.7109375" style="101" customWidth="1"/>
    <col min="2566" max="2566" width="13.140625" style="101" customWidth="1"/>
    <col min="2567" max="2567" width="10.85546875" style="101" customWidth="1"/>
    <col min="2568" max="2568" width="9.28515625" style="101" bestFit="1" customWidth="1"/>
    <col min="2569" max="2569" width="12.140625" style="101" customWidth="1"/>
    <col min="2570" max="2570" width="12.7109375" style="101" customWidth="1"/>
    <col min="2571" max="2571" width="9.28515625" style="101" customWidth="1"/>
    <col min="2572" max="2572" width="9.28515625" style="101" bestFit="1" customWidth="1"/>
    <col min="2573" max="2573" width="13.140625" style="101" customWidth="1"/>
    <col min="2574" max="2574" width="13.5703125" style="101" customWidth="1"/>
    <col min="2575" max="2575" width="9.5703125" style="101" customWidth="1"/>
    <col min="2576" max="2576" width="14.85546875" style="101" customWidth="1"/>
    <col min="2577" max="2816" width="9.140625" style="101"/>
    <col min="2817" max="2817" width="5.5703125" style="101" customWidth="1"/>
    <col min="2818" max="2818" width="33.5703125" style="101" customWidth="1"/>
    <col min="2819" max="2819" width="15.5703125" style="101" customWidth="1"/>
    <col min="2820" max="2820" width="9.5703125" style="101" customWidth="1"/>
    <col min="2821" max="2821" width="11.7109375" style="101" customWidth="1"/>
    <col min="2822" max="2822" width="13.140625" style="101" customWidth="1"/>
    <col min="2823" max="2823" width="10.85546875" style="101" customWidth="1"/>
    <col min="2824" max="2824" width="9.28515625" style="101" bestFit="1" customWidth="1"/>
    <col min="2825" max="2825" width="12.140625" style="101" customWidth="1"/>
    <col min="2826" max="2826" width="12.7109375" style="101" customWidth="1"/>
    <col min="2827" max="2827" width="9.28515625" style="101" customWidth="1"/>
    <col min="2828" max="2828" width="9.28515625" style="101" bestFit="1" customWidth="1"/>
    <col min="2829" max="2829" width="13.140625" style="101" customWidth="1"/>
    <col min="2830" max="2830" width="13.5703125" style="101" customWidth="1"/>
    <col min="2831" max="2831" width="9.5703125" style="101" customWidth="1"/>
    <col min="2832" max="2832" width="14.85546875" style="101" customWidth="1"/>
    <col min="2833" max="3072" width="9.140625" style="101"/>
    <col min="3073" max="3073" width="5.5703125" style="101" customWidth="1"/>
    <col min="3074" max="3074" width="33.5703125" style="101" customWidth="1"/>
    <col min="3075" max="3075" width="15.5703125" style="101" customWidth="1"/>
    <col min="3076" max="3076" width="9.5703125" style="101" customWidth="1"/>
    <col min="3077" max="3077" width="11.7109375" style="101" customWidth="1"/>
    <col min="3078" max="3078" width="13.140625" style="101" customWidth="1"/>
    <col min="3079" max="3079" width="10.85546875" style="101" customWidth="1"/>
    <col min="3080" max="3080" width="9.28515625" style="101" bestFit="1" customWidth="1"/>
    <col min="3081" max="3081" width="12.140625" style="101" customWidth="1"/>
    <col min="3082" max="3082" width="12.7109375" style="101" customWidth="1"/>
    <col min="3083" max="3083" width="9.28515625" style="101" customWidth="1"/>
    <col min="3084" max="3084" width="9.28515625" style="101" bestFit="1" customWidth="1"/>
    <col min="3085" max="3085" width="13.140625" style="101" customWidth="1"/>
    <col min="3086" max="3086" width="13.5703125" style="101" customWidth="1"/>
    <col min="3087" max="3087" width="9.5703125" style="101" customWidth="1"/>
    <col min="3088" max="3088" width="14.85546875" style="101" customWidth="1"/>
    <col min="3089" max="3328" width="9.140625" style="101"/>
    <col min="3329" max="3329" width="5.5703125" style="101" customWidth="1"/>
    <col min="3330" max="3330" width="33.5703125" style="101" customWidth="1"/>
    <col min="3331" max="3331" width="15.5703125" style="101" customWidth="1"/>
    <col min="3332" max="3332" width="9.5703125" style="101" customWidth="1"/>
    <col min="3333" max="3333" width="11.7109375" style="101" customWidth="1"/>
    <col min="3334" max="3334" width="13.140625" style="101" customWidth="1"/>
    <col min="3335" max="3335" width="10.85546875" style="101" customWidth="1"/>
    <col min="3336" max="3336" width="9.28515625" style="101" bestFit="1" customWidth="1"/>
    <col min="3337" max="3337" width="12.140625" style="101" customWidth="1"/>
    <col min="3338" max="3338" width="12.7109375" style="101" customWidth="1"/>
    <col min="3339" max="3339" width="9.28515625" style="101" customWidth="1"/>
    <col min="3340" max="3340" width="9.28515625" style="101" bestFit="1" customWidth="1"/>
    <col min="3341" max="3341" width="13.140625" style="101" customWidth="1"/>
    <col min="3342" max="3342" width="13.5703125" style="101" customWidth="1"/>
    <col min="3343" max="3343" width="9.5703125" style="101" customWidth="1"/>
    <col min="3344" max="3344" width="14.85546875" style="101" customWidth="1"/>
    <col min="3345" max="3584" width="9.140625" style="101"/>
    <col min="3585" max="3585" width="5.5703125" style="101" customWidth="1"/>
    <col min="3586" max="3586" width="33.5703125" style="101" customWidth="1"/>
    <col min="3587" max="3587" width="15.5703125" style="101" customWidth="1"/>
    <col min="3588" max="3588" width="9.5703125" style="101" customWidth="1"/>
    <col min="3589" max="3589" width="11.7109375" style="101" customWidth="1"/>
    <col min="3590" max="3590" width="13.140625" style="101" customWidth="1"/>
    <col min="3591" max="3591" width="10.85546875" style="101" customWidth="1"/>
    <col min="3592" max="3592" width="9.28515625" style="101" bestFit="1" customWidth="1"/>
    <col min="3593" max="3593" width="12.140625" style="101" customWidth="1"/>
    <col min="3594" max="3594" width="12.7109375" style="101" customWidth="1"/>
    <col min="3595" max="3595" width="9.28515625" style="101" customWidth="1"/>
    <col min="3596" max="3596" width="9.28515625" style="101" bestFit="1" customWidth="1"/>
    <col min="3597" max="3597" width="13.140625" style="101" customWidth="1"/>
    <col min="3598" max="3598" width="13.5703125" style="101" customWidth="1"/>
    <col min="3599" max="3599" width="9.5703125" style="101" customWidth="1"/>
    <col min="3600" max="3600" width="14.85546875" style="101" customWidth="1"/>
    <col min="3601" max="3840" width="9.140625" style="101"/>
    <col min="3841" max="3841" width="5.5703125" style="101" customWidth="1"/>
    <col min="3842" max="3842" width="33.5703125" style="101" customWidth="1"/>
    <col min="3843" max="3843" width="15.5703125" style="101" customWidth="1"/>
    <col min="3844" max="3844" width="9.5703125" style="101" customWidth="1"/>
    <col min="3845" max="3845" width="11.7109375" style="101" customWidth="1"/>
    <col min="3846" max="3846" width="13.140625" style="101" customWidth="1"/>
    <col min="3847" max="3847" width="10.85546875" style="101" customWidth="1"/>
    <col min="3848" max="3848" width="9.28515625" style="101" bestFit="1" customWidth="1"/>
    <col min="3849" max="3849" width="12.140625" style="101" customWidth="1"/>
    <col min="3850" max="3850" width="12.7109375" style="101" customWidth="1"/>
    <col min="3851" max="3851" width="9.28515625" style="101" customWidth="1"/>
    <col min="3852" max="3852" width="9.28515625" style="101" bestFit="1" customWidth="1"/>
    <col min="3853" max="3853" width="13.140625" style="101" customWidth="1"/>
    <col min="3854" max="3854" width="13.5703125" style="101" customWidth="1"/>
    <col min="3855" max="3855" width="9.5703125" style="101" customWidth="1"/>
    <col min="3856" max="3856" width="14.85546875" style="101" customWidth="1"/>
    <col min="3857" max="4096" width="9.140625" style="101"/>
    <col min="4097" max="4097" width="5.5703125" style="101" customWidth="1"/>
    <col min="4098" max="4098" width="33.5703125" style="101" customWidth="1"/>
    <col min="4099" max="4099" width="15.5703125" style="101" customWidth="1"/>
    <col min="4100" max="4100" width="9.5703125" style="101" customWidth="1"/>
    <col min="4101" max="4101" width="11.7109375" style="101" customWidth="1"/>
    <col min="4102" max="4102" width="13.140625" style="101" customWidth="1"/>
    <col min="4103" max="4103" width="10.85546875" style="101" customWidth="1"/>
    <col min="4104" max="4104" width="9.28515625" style="101" bestFit="1" customWidth="1"/>
    <col min="4105" max="4105" width="12.140625" style="101" customWidth="1"/>
    <col min="4106" max="4106" width="12.7109375" style="101" customWidth="1"/>
    <col min="4107" max="4107" width="9.28515625" style="101" customWidth="1"/>
    <col min="4108" max="4108" width="9.28515625" style="101" bestFit="1" customWidth="1"/>
    <col min="4109" max="4109" width="13.140625" style="101" customWidth="1"/>
    <col min="4110" max="4110" width="13.5703125" style="101" customWidth="1"/>
    <col min="4111" max="4111" width="9.5703125" style="101" customWidth="1"/>
    <col min="4112" max="4112" width="14.85546875" style="101" customWidth="1"/>
    <col min="4113" max="4352" width="9.140625" style="101"/>
    <col min="4353" max="4353" width="5.5703125" style="101" customWidth="1"/>
    <col min="4354" max="4354" width="33.5703125" style="101" customWidth="1"/>
    <col min="4355" max="4355" width="15.5703125" style="101" customWidth="1"/>
    <col min="4356" max="4356" width="9.5703125" style="101" customWidth="1"/>
    <col min="4357" max="4357" width="11.7109375" style="101" customWidth="1"/>
    <col min="4358" max="4358" width="13.140625" style="101" customWidth="1"/>
    <col min="4359" max="4359" width="10.85546875" style="101" customWidth="1"/>
    <col min="4360" max="4360" width="9.28515625" style="101" bestFit="1" customWidth="1"/>
    <col min="4361" max="4361" width="12.140625" style="101" customWidth="1"/>
    <col min="4362" max="4362" width="12.7109375" style="101" customWidth="1"/>
    <col min="4363" max="4363" width="9.28515625" style="101" customWidth="1"/>
    <col min="4364" max="4364" width="9.28515625" style="101" bestFit="1" customWidth="1"/>
    <col min="4365" max="4365" width="13.140625" style="101" customWidth="1"/>
    <col min="4366" max="4366" width="13.5703125" style="101" customWidth="1"/>
    <col min="4367" max="4367" width="9.5703125" style="101" customWidth="1"/>
    <col min="4368" max="4368" width="14.85546875" style="101" customWidth="1"/>
    <col min="4369" max="4608" width="9.140625" style="101"/>
    <col min="4609" max="4609" width="5.5703125" style="101" customWidth="1"/>
    <col min="4610" max="4610" width="33.5703125" style="101" customWidth="1"/>
    <col min="4611" max="4611" width="15.5703125" style="101" customWidth="1"/>
    <col min="4612" max="4612" width="9.5703125" style="101" customWidth="1"/>
    <col min="4613" max="4613" width="11.7109375" style="101" customWidth="1"/>
    <col min="4614" max="4614" width="13.140625" style="101" customWidth="1"/>
    <col min="4615" max="4615" width="10.85546875" style="101" customWidth="1"/>
    <col min="4616" max="4616" width="9.28515625" style="101" bestFit="1" customWidth="1"/>
    <col min="4617" max="4617" width="12.140625" style="101" customWidth="1"/>
    <col min="4618" max="4618" width="12.7109375" style="101" customWidth="1"/>
    <col min="4619" max="4619" width="9.28515625" style="101" customWidth="1"/>
    <col min="4620" max="4620" width="9.28515625" style="101" bestFit="1" customWidth="1"/>
    <col min="4621" max="4621" width="13.140625" style="101" customWidth="1"/>
    <col min="4622" max="4622" width="13.5703125" style="101" customWidth="1"/>
    <col min="4623" max="4623" width="9.5703125" style="101" customWidth="1"/>
    <col min="4624" max="4624" width="14.85546875" style="101" customWidth="1"/>
    <col min="4625" max="4864" width="9.140625" style="101"/>
    <col min="4865" max="4865" width="5.5703125" style="101" customWidth="1"/>
    <col min="4866" max="4866" width="33.5703125" style="101" customWidth="1"/>
    <col min="4867" max="4867" width="15.5703125" style="101" customWidth="1"/>
    <col min="4868" max="4868" width="9.5703125" style="101" customWidth="1"/>
    <col min="4869" max="4869" width="11.7109375" style="101" customWidth="1"/>
    <col min="4870" max="4870" width="13.140625" style="101" customWidth="1"/>
    <col min="4871" max="4871" width="10.85546875" style="101" customWidth="1"/>
    <col min="4872" max="4872" width="9.28515625" style="101" bestFit="1" customWidth="1"/>
    <col min="4873" max="4873" width="12.140625" style="101" customWidth="1"/>
    <col min="4874" max="4874" width="12.7109375" style="101" customWidth="1"/>
    <col min="4875" max="4875" width="9.28515625" style="101" customWidth="1"/>
    <col min="4876" max="4876" width="9.28515625" style="101" bestFit="1" customWidth="1"/>
    <col min="4877" max="4877" width="13.140625" style="101" customWidth="1"/>
    <col min="4878" max="4878" width="13.5703125" style="101" customWidth="1"/>
    <col min="4879" max="4879" width="9.5703125" style="101" customWidth="1"/>
    <col min="4880" max="4880" width="14.85546875" style="101" customWidth="1"/>
    <col min="4881" max="5120" width="9.140625" style="101"/>
    <col min="5121" max="5121" width="5.5703125" style="101" customWidth="1"/>
    <col min="5122" max="5122" width="33.5703125" style="101" customWidth="1"/>
    <col min="5123" max="5123" width="15.5703125" style="101" customWidth="1"/>
    <col min="5124" max="5124" width="9.5703125" style="101" customWidth="1"/>
    <col min="5125" max="5125" width="11.7109375" style="101" customWidth="1"/>
    <col min="5126" max="5126" width="13.140625" style="101" customWidth="1"/>
    <col min="5127" max="5127" width="10.85546875" style="101" customWidth="1"/>
    <col min="5128" max="5128" width="9.28515625" style="101" bestFit="1" customWidth="1"/>
    <col min="5129" max="5129" width="12.140625" style="101" customWidth="1"/>
    <col min="5130" max="5130" width="12.7109375" style="101" customWidth="1"/>
    <col min="5131" max="5131" width="9.28515625" style="101" customWidth="1"/>
    <col min="5132" max="5132" width="9.28515625" style="101" bestFit="1" customWidth="1"/>
    <col min="5133" max="5133" width="13.140625" style="101" customWidth="1"/>
    <col min="5134" max="5134" width="13.5703125" style="101" customWidth="1"/>
    <col min="5135" max="5135" width="9.5703125" style="101" customWidth="1"/>
    <col min="5136" max="5136" width="14.85546875" style="101" customWidth="1"/>
    <col min="5137" max="5376" width="9.140625" style="101"/>
    <col min="5377" max="5377" width="5.5703125" style="101" customWidth="1"/>
    <col min="5378" max="5378" width="33.5703125" style="101" customWidth="1"/>
    <col min="5379" max="5379" width="15.5703125" style="101" customWidth="1"/>
    <col min="5380" max="5380" width="9.5703125" style="101" customWidth="1"/>
    <col min="5381" max="5381" width="11.7109375" style="101" customWidth="1"/>
    <col min="5382" max="5382" width="13.140625" style="101" customWidth="1"/>
    <col min="5383" max="5383" width="10.85546875" style="101" customWidth="1"/>
    <col min="5384" max="5384" width="9.28515625" style="101" bestFit="1" customWidth="1"/>
    <col min="5385" max="5385" width="12.140625" style="101" customWidth="1"/>
    <col min="5386" max="5386" width="12.7109375" style="101" customWidth="1"/>
    <col min="5387" max="5387" width="9.28515625" style="101" customWidth="1"/>
    <col min="5388" max="5388" width="9.28515625" style="101" bestFit="1" customWidth="1"/>
    <col min="5389" max="5389" width="13.140625" style="101" customWidth="1"/>
    <col min="5390" max="5390" width="13.5703125" style="101" customWidth="1"/>
    <col min="5391" max="5391" width="9.5703125" style="101" customWidth="1"/>
    <col min="5392" max="5392" width="14.85546875" style="101" customWidth="1"/>
    <col min="5393" max="5632" width="9.140625" style="101"/>
    <col min="5633" max="5633" width="5.5703125" style="101" customWidth="1"/>
    <col min="5634" max="5634" width="33.5703125" style="101" customWidth="1"/>
    <col min="5635" max="5635" width="15.5703125" style="101" customWidth="1"/>
    <col min="5636" max="5636" width="9.5703125" style="101" customWidth="1"/>
    <col min="5637" max="5637" width="11.7109375" style="101" customWidth="1"/>
    <col min="5638" max="5638" width="13.140625" style="101" customWidth="1"/>
    <col min="5639" max="5639" width="10.85546875" style="101" customWidth="1"/>
    <col min="5640" max="5640" width="9.28515625" style="101" bestFit="1" customWidth="1"/>
    <col min="5641" max="5641" width="12.140625" style="101" customWidth="1"/>
    <col min="5642" max="5642" width="12.7109375" style="101" customWidth="1"/>
    <col min="5643" max="5643" width="9.28515625" style="101" customWidth="1"/>
    <col min="5644" max="5644" width="9.28515625" style="101" bestFit="1" customWidth="1"/>
    <col min="5645" max="5645" width="13.140625" style="101" customWidth="1"/>
    <col min="5646" max="5646" width="13.5703125" style="101" customWidth="1"/>
    <col min="5647" max="5647" width="9.5703125" style="101" customWidth="1"/>
    <col min="5648" max="5648" width="14.85546875" style="101" customWidth="1"/>
    <col min="5649" max="5888" width="9.140625" style="101"/>
    <col min="5889" max="5889" width="5.5703125" style="101" customWidth="1"/>
    <col min="5890" max="5890" width="33.5703125" style="101" customWidth="1"/>
    <col min="5891" max="5891" width="15.5703125" style="101" customWidth="1"/>
    <col min="5892" max="5892" width="9.5703125" style="101" customWidth="1"/>
    <col min="5893" max="5893" width="11.7109375" style="101" customWidth="1"/>
    <col min="5894" max="5894" width="13.140625" style="101" customWidth="1"/>
    <col min="5895" max="5895" width="10.85546875" style="101" customWidth="1"/>
    <col min="5896" max="5896" width="9.28515625" style="101" bestFit="1" customWidth="1"/>
    <col min="5897" max="5897" width="12.140625" style="101" customWidth="1"/>
    <col min="5898" max="5898" width="12.7109375" style="101" customWidth="1"/>
    <col min="5899" max="5899" width="9.28515625" style="101" customWidth="1"/>
    <col min="5900" max="5900" width="9.28515625" style="101" bestFit="1" customWidth="1"/>
    <col min="5901" max="5901" width="13.140625" style="101" customWidth="1"/>
    <col min="5902" max="5902" width="13.5703125" style="101" customWidth="1"/>
    <col min="5903" max="5903" width="9.5703125" style="101" customWidth="1"/>
    <col min="5904" max="5904" width="14.85546875" style="101" customWidth="1"/>
    <col min="5905" max="6144" width="9.140625" style="101"/>
    <col min="6145" max="6145" width="5.5703125" style="101" customWidth="1"/>
    <col min="6146" max="6146" width="33.5703125" style="101" customWidth="1"/>
    <col min="6147" max="6147" width="15.5703125" style="101" customWidth="1"/>
    <col min="6148" max="6148" width="9.5703125" style="101" customWidth="1"/>
    <col min="6149" max="6149" width="11.7109375" style="101" customWidth="1"/>
    <col min="6150" max="6150" width="13.140625" style="101" customWidth="1"/>
    <col min="6151" max="6151" width="10.85546875" style="101" customWidth="1"/>
    <col min="6152" max="6152" width="9.28515625" style="101" bestFit="1" customWidth="1"/>
    <col min="6153" max="6153" width="12.140625" style="101" customWidth="1"/>
    <col min="6154" max="6154" width="12.7109375" style="101" customWidth="1"/>
    <col min="6155" max="6155" width="9.28515625" style="101" customWidth="1"/>
    <col min="6156" max="6156" width="9.28515625" style="101" bestFit="1" customWidth="1"/>
    <col min="6157" max="6157" width="13.140625" style="101" customWidth="1"/>
    <col min="6158" max="6158" width="13.5703125" style="101" customWidth="1"/>
    <col min="6159" max="6159" width="9.5703125" style="101" customWidth="1"/>
    <col min="6160" max="6160" width="14.85546875" style="101" customWidth="1"/>
    <col min="6161" max="6400" width="9.140625" style="101"/>
    <col min="6401" max="6401" width="5.5703125" style="101" customWidth="1"/>
    <col min="6402" max="6402" width="33.5703125" style="101" customWidth="1"/>
    <col min="6403" max="6403" width="15.5703125" style="101" customWidth="1"/>
    <col min="6404" max="6404" width="9.5703125" style="101" customWidth="1"/>
    <col min="6405" max="6405" width="11.7109375" style="101" customWidth="1"/>
    <col min="6406" max="6406" width="13.140625" style="101" customWidth="1"/>
    <col min="6407" max="6407" width="10.85546875" style="101" customWidth="1"/>
    <col min="6408" max="6408" width="9.28515625" style="101" bestFit="1" customWidth="1"/>
    <col min="6409" max="6409" width="12.140625" style="101" customWidth="1"/>
    <col min="6410" max="6410" width="12.7109375" style="101" customWidth="1"/>
    <col min="6411" max="6411" width="9.28515625" style="101" customWidth="1"/>
    <col min="6412" max="6412" width="9.28515625" style="101" bestFit="1" customWidth="1"/>
    <col min="6413" max="6413" width="13.140625" style="101" customWidth="1"/>
    <col min="6414" max="6414" width="13.5703125" style="101" customWidth="1"/>
    <col min="6415" max="6415" width="9.5703125" style="101" customWidth="1"/>
    <col min="6416" max="6416" width="14.85546875" style="101" customWidth="1"/>
    <col min="6417" max="6656" width="9.140625" style="101"/>
    <col min="6657" max="6657" width="5.5703125" style="101" customWidth="1"/>
    <col min="6658" max="6658" width="33.5703125" style="101" customWidth="1"/>
    <col min="6659" max="6659" width="15.5703125" style="101" customWidth="1"/>
    <col min="6660" max="6660" width="9.5703125" style="101" customWidth="1"/>
    <col min="6661" max="6661" width="11.7109375" style="101" customWidth="1"/>
    <col min="6662" max="6662" width="13.140625" style="101" customWidth="1"/>
    <col min="6663" max="6663" width="10.85546875" style="101" customWidth="1"/>
    <col min="6664" max="6664" width="9.28515625" style="101" bestFit="1" customWidth="1"/>
    <col min="6665" max="6665" width="12.140625" style="101" customWidth="1"/>
    <col min="6666" max="6666" width="12.7109375" style="101" customWidth="1"/>
    <col min="6667" max="6667" width="9.28515625" style="101" customWidth="1"/>
    <col min="6668" max="6668" width="9.28515625" style="101" bestFit="1" customWidth="1"/>
    <col min="6669" max="6669" width="13.140625" style="101" customWidth="1"/>
    <col min="6670" max="6670" width="13.5703125" style="101" customWidth="1"/>
    <col min="6671" max="6671" width="9.5703125" style="101" customWidth="1"/>
    <col min="6672" max="6672" width="14.85546875" style="101" customWidth="1"/>
    <col min="6673" max="6912" width="9.140625" style="101"/>
    <col min="6913" max="6913" width="5.5703125" style="101" customWidth="1"/>
    <col min="6914" max="6914" width="33.5703125" style="101" customWidth="1"/>
    <col min="6915" max="6915" width="15.5703125" style="101" customWidth="1"/>
    <col min="6916" max="6916" width="9.5703125" style="101" customWidth="1"/>
    <col min="6917" max="6917" width="11.7109375" style="101" customWidth="1"/>
    <col min="6918" max="6918" width="13.140625" style="101" customWidth="1"/>
    <col min="6919" max="6919" width="10.85546875" style="101" customWidth="1"/>
    <col min="6920" max="6920" width="9.28515625" style="101" bestFit="1" customWidth="1"/>
    <col min="6921" max="6921" width="12.140625" style="101" customWidth="1"/>
    <col min="6922" max="6922" width="12.7109375" style="101" customWidth="1"/>
    <col min="6923" max="6923" width="9.28515625" style="101" customWidth="1"/>
    <col min="6924" max="6924" width="9.28515625" style="101" bestFit="1" customWidth="1"/>
    <col min="6925" max="6925" width="13.140625" style="101" customWidth="1"/>
    <col min="6926" max="6926" width="13.5703125" style="101" customWidth="1"/>
    <col min="6927" max="6927" width="9.5703125" style="101" customWidth="1"/>
    <col min="6928" max="6928" width="14.85546875" style="101" customWidth="1"/>
    <col min="6929" max="7168" width="9.140625" style="101"/>
    <col min="7169" max="7169" width="5.5703125" style="101" customWidth="1"/>
    <col min="7170" max="7170" width="33.5703125" style="101" customWidth="1"/>
    <col min="7171" max="7171" width="15.5703125" style="101" customWidth="1"/>
    <col min="7172" max="7172" width="9.5703125" style="101" customWidth="1"/>
    <col min="7173" max="7173" width="11.7109375" style="101" customWidth="1"/>
    <col min="7174" max="7174" width="13.140625" style="101" customWidth="1"/>
    <col min="7175" max="7175" width="10.85546875" style="101" customWidth="1"/>
    <col min="7176" max="7176" width="9.28515625" style="101" bestFit="1" customWidth="1"/>
    <col min="7177" max="7177" width="12.140625" style="101" customWidth="1"/>
    <col min="7178" max="7178" width="12.7109375" style="101" customWidth="1"/>
    <col min="7179" max="7179" width="9.28515625" style="101" customWidth="1"/>
    <col min="7180" max="7180" width="9.28515625" style="101" bestFit="1" customWidth="1"/>
    <col min="7181" max="7181" width="13.140625" style="101" customWidth="1"/>
    <col min="7182" max="7182" width="13.5703125" style="101" customWidth="1"/>
    <col min="7183" max="7183" width="9.5703125" style="101" customWidth="1"/>
    <col min="7184" max="7184" width="14.85546875" style="101" customWidth="1"/>
    <col min="7185" max="7424" width="9.140625" style="101"/>
    <col min="7425" max="7425" width="5.5703125" style="101" customWidth="1"/>
    <col min="7426" max="7426" width="33.5703125" style="101" customWidth="1"/>
    <col min="7427" max="7427" width="15.5703125" style="101" customWidth="1"/>
    <col min="7428" max="7428" width="9.5703125" style="101" customWidth="1"/>
    <col min="7429" max="7429" width="11.7109375" style="101" customWidth="1"/>
    <col min="7430" max="7430" width="13.140625" style="101" customWidth="1"/>
    <col min="7431" max="7431" width="10.85546875" style="101" customWidth="1"/>
    <col min="7432" max="7432" width="9.28515625" style="101" bestFit="1" customWidth="1"/>
    <col min="7433" max="7433" width="12.140625" style="101" customWidth="1"/>
    <col min="7434" max="7434" width="12.7109375" style="101" customWidth="1"/>
    <col min="7435" max="7435" width="9.28515625" style="101" customWidth="1"/>
    <col min="7436" max="7436" width="9.28515625" style="101" bestFit="1" customWidth="1"/>
    <col min="7437" max="7437" width="13.140625" style="101" customWidth="1"/>
    <col min="7438" max="7438" width="13.5703125" style="101" customWidth="1"/>
    <col min="7439" max="7439" width="9.5703125" style="101" customWidth="1"/>
    <col min="7440" max="7440" width="14.85546875" style="101" customWidth="1"/>
    <col min="7441" max="7680" width="9.140625" style="101"/>
    <col min="7681" max="7681" width="5.5703125" style="101" customWidth="1"/>
    <col min="7682" max="7682" width="33.5703125" style="101" customWidth="1"/>
    <col min="7683" max="7683" width="15.5703125" style="101" customWidth="1"/>
    <col min="7684" max="7684" width="9.5703125" style="101" customWidth="1"/>
    <col min="7685" max="7685" width="11.7109375" style="101" customWidth="1"/>
    <col min="7686" max="7686" width="13.140625" style="101" customWidth="1"/>
    <col min="7687" max="7687" width="10.85546875" style="101" customWidth="1"/>
    <col min="7688" max="7688" width="9.28515625" style="101" bestFit="1" customWidth="1"/>
    <col min="7689" max="7689" width="12.140625" style="101" customWidth="1"/>
    <col min="7690" max="7690" width="12.7109375" style="101" customWidth="1"/>
    <col min="7691" max="7691" width="9.28515625" style="101" customWidth="1"/>
    <col min="7692" max="7692" width="9.28515625" style="101" bestFit="1" customWidth="1"/>
    <col min="7693" max="7693" width="13.140625" style="101" customWidth="1"/>
    <col min="7694" max="7694" width="13.5703125" style="101" customWidth="1"/>
    <col min="7695" max="7695" width="9.5703125" style="101" customWidth="1"/>
    <col min="7696" max="7696" width="14.85546875" style="101" customWidth="1"/>
    <col min="7697" max="7936" width="9.140625" style="101"/>
    <col min="7937" max="7937" width="5.5703125" style="101" customWidth="1"/>
    <col min="7938" max="7938" width="33.5703125" style="101" customWidth="1"/>
    <col min="7939" max="7939" width="15.5703125" style="101" customWidth="1"/>
    <col min="7940" max="7940" width="9.5703125" style="101" customWidth="1"/>
    <col min="7941" max="7941" width="11.7109375" style="101" customWidth="1"/>
    <col min="7942" max="7942" width="13.140625" style="101" customWidth="1"/>
    <col min="7943" max="7943" width="10.85546875" style="101" customWidth="1"/>
    <col min="7944" max="7944" width="9.28515625" style="101" bestFit="1" customWidth="1"/>
    <col min="7945" max="7945" width="12.140625" style="101" customWidth="1"/>
    <col min="7946" max="7946" width="12.7109375" style="101" customWidth="1"/>
    <col min="7947" max="7947" width="9.28515625" style="101" customWidth="1"/>
    <col min="7948" max="7948" width="9.28515625" style="101" bestFit="1" customWidth="1"/>
    <col min="7949" max="7949" width="13.140625" style="101" customWidth="1"/>
    <col min="7950" max="7950" width="13.5703125" style="101" customWidth="1"/>
    <col min="7951" max="7951" width="9.5703125" style="101" customWidth="1"/>
    <col min="7952" max="7952" width="14.85546875" style="101" customWidth="1"/>
    <col min="7953" max="8192" width="9.140625" style="101"/>
    <col min="8193" max="8193" width="5.5703125" style="101" customWidth="1"/>
    <col min="8194" max="8194" width="33.5703125" style="101" customWidth="1"/>
    <col min="8195" max="8195" width="15.5703125" style="101" customWidth="1"/>
    <col min="8196" max="8196" width="9.5703125" style="101" customWidth="1"/>
    <col min="8197" max="8197" width="11.7109375" style="101" customWidth="1"/>
    <col min="8198" max="8198" width="13.140625" style="101" customWidth="1"/>
    <col min="8199" max="8199" width="10.85546875" style="101" customWidth="1"/>
    <col min="8200" max="8200" width="9.28515625" style="101" bestFit="1" customWidth="1"/>
    <col min="8201" max="8201" width="12.140625" style="101" customWidth="1"/>
    <col min="8202" max="8202" width="12.7109375" style="101" customWidth="1"/>
    <col min="8203" max="8203" width="9.28515625" style="101" customWidth="1"/>
    <col min="8204" max="8204" width="9.28515625" style="101" bestFit="1" customWidth="1"/>
    <col min="8205" max="8205" width="13.140625" style="101" customWidth="1"/>
    <col min="8206" max="8206" width="13.5703125" style="101" customWidth="1"/>
    <col min="8207" max="8207" width="9.5703125" style="101" customWidth="1"/>
    <col min="8208" max="8208" width="14.85546875" style="101" customWidth="1"/>
    <col min="8209" max="8448" width="9.140625" style="101"/>
    <col min="8449" max="8449" width="5.5703125" style="101" customWidth="1"/>
    <col min="8450" max="8450" width="33.5703125" style="101" customWidth="1"/>
    <col min="8451" max="8451" width="15.5703125" style="101" customWidth="1"/>
    <col min="8452" max="8452" width="9.5703125" style="101" customWidth="1"/>
    <col min="8453" max="8453" width="11.7109375" style="101" customWidth="1"/>
    <col min="8454" max="8454" width="13.140625" style="101" customWidth="1"/>
    <col min="8455" max="8455" width="10.85546875" style="101" customWidth="1"/>
    <col min="8456" max="8456" width="9.28515625" style="101" bestFit="1" customWidth="1"/>
    <col min="8457" max="8457" width="12.140625" style="101" customWidth="1"/>
    <col min="8458" max="8458" width="12.7109375" style="101" customWidth="1"/>
    <col min="8459" max="8459" width="9.28515625" style="101" customWidth="1"/>
    <col min="8460" max="8460" width="9.28515625" style="101" bestFit="1" customWidth="1"/>
    <col min="8461" max="8461" width="13.140625" style="101" customWidth="1"/>
    <col min="8462" max="8462" width="13.5703125" style="101" customWidth="1"/>
    <col min="8463" max="8463" width="9.5703125" style="101" customWidth="1"/>
    <col min="8464" max="8464" width="14.85546875" style="101" customWidth="1"/>
    <col min="8465" max="8704" width="9.140625" style="101"/>
    <col min="8705" max="8705" width="5.5703125" style="101" customWidth="1"/>
    <col min="8706" max="8706" width="33.5703125" style="101" customWidth="1"/>
    <col min="8707" max="8707" width="15.5703125" style="101" customWidth="1"/>
    <col min="8708" max="8708" width="9.5703125" style="101" customWidth="1"/>
    <col min="8709" max="8709" width="11.7109375" style="101" customWidth="1"/>
    <col min="8710" max="8710" width="13.140625" style="101" customWidth="1"/>
    <col min="8711" max="8711" width="10.85546875" style="101" customWidth="1"/>
    <col min="8712" max="8712" width="9.28515625" style="101" bestFit="1" customWidth="1"/>
    <col min="8713" max="8713" width="12.140625" style="101" customWidth="1"/>
    <col min="8714" max="8714" width="12.7109375" style="101" customWidth="1"/>
    <col min="8715" max="8715" width="9.28515625" style="101" customWidth="1"/>
    <col min="8716" max="8716" width="9.28515625" style="101" bestFit="1" customWidth="1"/>
    <col min="8717" max="8717" width="13.140625" style="101" customWidth="1"/>
    <col min="8718" max="8718" width="13.5703125" style="101" customWidth="1"/>
    <col min="8719" max="8719" width="9.5703125" style="101" customWidth="1"/>
    <col min="8720" max="8720" width="14.85546875" style="101" customWidth="1"/>
    <col min="8721" max="8960" width="9.140625" style="101"/>
    <col min="8961" max="8961" width="5.5703125" style="101" customWidth="1"/>
    <col min="8962" max="8962" width="33.5703125" style="101" customWidth="1"/>
    <col min="8963" max="8963" width="15.5703125" style="101" customWidth="1"/>
    <col min="8964" max="8964" width="9.5703125" style="101" customWidth="1"/>
    <col min="8965" max="8965" width="11.7109375" style="101" customWidth="1"/>
    <col min="8966" max="8966" width="13.140625" style="101" customWidth="1"/>
    <col min="8967" max="8967" width="10.85546875" style="101" customWidth="1"/>
    <col min="8968" max="8968" width="9.28515625" style="101" bestFit="1" customWidth="1"/>
    <col min="8969" max="8969" width="12.140625" style="101" customWidth="1"/>
    <col min="8970" max="8970" width="12.7109375" style="101" customWidth="1"/>
    <col min="8971" max="8971" width="9.28515625" style="101" customWidth="1"/>
    <col min="8972" max="8972" width="9.28515625" style="101" bestFit="1" customWidth="1"/>
    <col min="8973" max="8973" width="13.140625" style="101" customWidth="1"/>
    <col min="8974" max="8974" width="13.5703125" style="101" customWidth="1"/>
    <col min="8975" max="8975" width="9.5703125" style="101" customWidth="1"/>
    <col min="8976" max="8976" width="14.85546875" style="101" customWidth="1"/>
    <col min="8977" max="9216" width="9.140625" style="101"/>
    <col min="9217" max="9217" width="5.5703125" style="101" customWidth="1"/>
    <col min="9218" max="9218" width="33.5703125" style="101" customWidth="1"/>
    <col min="9219" max="9219" width="15.5703125" style="101" customWidth="1"/>
    <col min="9220" max="9220" width="9.5703125" style="101" customWidth="1"/>
    <col min="9221" max="9221" width="11.7109375" style="101" customWidth="1"/>
    <col min="9222" max="9222" width="13.140625" style="101" customWidth="1"/>
    <col min="9223" max="9223" width="10.85546875" style="101" customWidth="1"/>
    <col min="9224" max="9224" width="9.28515625" style="101" bestFit="1" customWidth="1"/>
    <col min="9225" max="9225" width="12.140625" style="101" customWidth="1"/>
    <col min="9226" max="9226" width="12.7109375" style="101" customWidth="1"/>
    <col min="9227" max="9227" width="9.28515625" style="101" customWidth="1"/>
    <col min="9228" max="9228" width="9.28515625" style="101" bestFit="1" customWidth="1"/>
    <col min="9229" max="9229" width="13.140625" style="101" customWidth="1"/>
    <col min="9230" max="9230" width="13.5703125" style="101" customWidth="1"/>
    <col min="9231" max="9231" width="9.5703125" style="101" customWidth="1"/>
    <col min="9232" max="9232" width="14.85546875" style="101" customWidth="1"/>
    <col min="9233" max="9472" width="9.140625" style="101"/>
    <col min="9473" max="9473" width="5.5703125" style="101" customWidth="1"/>
    <col min="9474" max="9474" width="33.5703125" style="101" customWidth="1"/>
    <col min="9475" max="9475" width="15.5703125" style="101" customWidth="1"/>
    <col min="9476" max="9476" width="9.5703125" style="101" customWidth="1"/>
    <col min="9477" max="9477" width="11.7109375" style="101" customWidth="1"/>
    <col min="9478" max="9478" width="13.140625" style="101" customWidth="1"/>
    <col min="9479" max="9479" width="10.85546875" style="101" customWidth="1"/>
    <col min="9480" max="9480" width="9.28515625" style="101" bestFit="1" customWidth="1"/>
    <col min="9481" max="9481" width="12.140625" style="101" customWidth="1"/>
    <col min="9482" max="9482" width="12.7109375" style="101" customWidth="1"/>
    <col min="9483" max="9483" width="9.28515625" style="101" customWidth="1"/>
    <col min="9484" max="9484" width="9.28515625" style="101" bestFit="1" customWidth="1"/>
    <col min="9485" max="9485" width="13.140625" style="101" customWidth="1"/>
    <col min="9486" max="9486" width="13.5703125" style="101" customWidth="1"/>
    <col min="9487" max="9487" width="9.5703125" style="101" customWidth="1"/>
    <col min="9488" max="9488" width="14.85546875" style="101" customWidth="1"/>
    <col min="9489" max="9728" width="9.140625" style="101"/>
    <col min="9729" max="9729" width="5.5703125" style="101" customWidth="1"/>
    <col min="9730" max="9730" width="33.5703125" style="101" customWidth="1"/>
    <col min="9731" max="9731" width="15.5703125" style="101" customWidth="1"/>
    <col min="9732" max="9732" width="9.5703125" style="101" customWidth="1"/>
    <col min="9733" max="9733" width="11.7109375" style="101" customWidth="1"/>
    <col min="9734" max="9734" width="13.140625" style="101" customWidth="1"/>
    <col min="9735" max="9735" width="10.85546875" style="101" customWidth="1"/>
    <col min="9736" max="9736" width="9.28515625" style="101" bestFit="1" customWidth="1"/>
    <col min="9737" max="9737" width="12.140625" style="101" customWidth="1"/>
    <col min="9738" max="9738" width="12.7109375" style="101" customWidth="1"/>
    <col min="9739" max="9739" width="9.28515625" style="101" customWidth="1"/>
    <col min="9740" max="9740" width="9.28515625" style="101" bestFit="1" customWidth="1"/>
    <col min="9741" max="9741" width="13.140625" style="101" customWidth="1"/>
    <col min="9742" max="9742" width="13.5703125" style="101" customWidth="1"/>
    <col min="9743" max="9743" width="9.5703125" style="101" customWidth="1"/>
    <col min="9744" max="9744" width="14.85546875" style="101" customWidth="1"/>
    <col min="9745" max="9984" width="9.140625" style="101"/>
    <col min="9985" max="9985" width="5.5703125" style="101" customWidth="1"/>
    <col min="9986" max="9986" width="33.5703125" style="101" customWidth="1"/>
    <col min="9987" max="9987" width="15.5703125" style="101" customWidth="1"/>
    <col min="9988" max="9988" width="9.5703125" style="101" customWidth="1"/>
    <col min="9989" max="9989" width="11.7109375" style="101" customWidth="1"/>
    <col min="9990" max="9990" width="13.140625" style="101" customWidth="1"/>
    <col min="9991" max="9991" width="10.85546875" style="101" customWidth="1"/>
    <col min="9992" max="9992" width="9.28515625" style="101" bestFit="1" customWidth="1"/>
    <col min="9993" max="9993" width="12.140625" style="101" customWidth="1"/>
    <col min="9994" max="9994" width="12.7109375" style="101" customWidth="1"/>
    <col min="9995" max="9995" width="9.28515625" style="101" customWidth="1"/>
    <col min="9996" max="9996" width="9.28515625" style="101" bestFit="1" customWidth="1"/>
    <col min="9997" max="9997" width="13.140625" style="101" customWidth="1"/>
    <col min="9998" max="9998" width="13.5703125" style="101" customWidth="1"/>
    <col min="9999" max="9999" width="9.5703125" style="101" customWidth="1"/>
    <col min="10000" max="10000" width="14.85546875" style="101" customWidth="1"/>
    <col min="10001" max="10240" width="9.140625" style="101"/>
    <col min="10241" max="10241" width="5.5703125" style="101" customWidth="1"/>
    <col min="10242" max="10242" width="33.5703125" style="101" customWidth="1"/>
    <col min="10243" max="10243" width="15.5703125" style="101" customWidth="1"/>
    <col min="10244" max="10244" width="9.5703125" style="101" customWidth="1"/>
    <col min="10245" max="10245" width="11.7109375" style="101" customWidth="1"/>
    <col min="10246" max="10246" width="13.140625" style="101" customWidth="1"/>
    <col min="10247" max="10247" width="10.85546875" style="101" customWidth="1"/>
    <col min="10248" max="10248" width="9.28515625" style="101" bestFit="1" customWidth="1"/>
    <col min="10249" max="10249" width="12.140625" style="101" customWidth="1"/>
    <col min="10250" max="10250" width="12.7109375" style="101" customWidth="1"/>
    <col min="10251" max="10251" width="9.28515625" style="101" customWidth="1"/>
    <col min="10252" max="10252" width="9.28515625" style="101" bestFit="1" customWidth="1"/>
    <col min="10253" max="10253" width="13.140625" style="101" customWidth="1"/>
    <col min="10254" max="10254" width="13.5703125" style="101" customWidth="1"/>
    <col min="10255" max="10255" width="9.5703125" style="101" customWidth="1"/>
    <col min="10256" max="10256" width="14.85546875" style="101" customWidth="1"/>
    <col min="10257" max="10496" width="9.140625" style="101"/>
    <col min="10497" max="10497" width="5.5703125" style="101" customWidth="1"/>
    <col min="10498" max="10498" width="33.5703125" style="101" customWidth="1"/>
    <col min="10499" max="10499" width="15.5703125" style="101" customWidth="1"/>
    <col min="10500" max="10500" width="9.5703125" style="101" customWidth="1"/>
    <col min="10501" max="10501" width="11.7109375" style="101" customWidth="1"/>
    <col min="10502" max="10502" width="13.140625" style="101" customWidth="1"/>
    <col min="10503" max="10503" width="10.85546875" style="101" customWidth="1"/>
    <col min="10504" max="10504" width="9.28515625" style="101" bestFit="1" customWidth="1"/>
    <col min="10505" max="10505" width="12.140625" style="101" customWidth="1"/>
    <col min="10506" max="10506" width="12.7109375" style="101" customWidth="1"/>
    <col min="10507" max="10507" width="9.28515625" style="101" customWidth="1"/>
    <col min="10508" max="10508" width="9.28515625" style="101" bestFit="1" customWidth="1"/>
    <col min="10509" max="10509" width="13.140625" style="101" customWidth="1"/>
    <col min="10510" max="10510" width="13.5703125" style="101" customWidth="1"/>
    <col min="10511" max="10511" width="9.5703125" style="101" customWidth="1"/>
    <col min="10512" max="10512" width="14.85546875" style="101" customWidth="1"/>
    <col min="10513" max="10752" width="9.140625" style="101"/>
    <col min="10753" max="10753" width="5.5703125" style="101" customWidth="1"/>
    <col min="10754" max="10754" width="33.5703125" style="101" customWidth="1"/>
    <col min="10755" max="10755" width="15.5703125" style="101" customWidth="1"/>
    <col min="10756" max="10756" width="9.5703125" style="101" customWidth="1"/>
    <col min="10757" max="10757" width="11.7109375" style="101" customWidth="1"/>
    <col min="10758" max="10758" width="13.140625" style="101" customWidth="1"/>
    <col min="10759" max="10759" width="10.85546875" style="101" customWidth="1"/>
    <col min="10760" max="10760" width="9.28515625" style="101" bestFit="1" customWidth="1"/>
    <col min="10761" max="10761" width="12.140625" style="101" customWidth="1"/>
    <col min="10762" max="10762" width="12.7109375" style="101" customWidth="1"/>
    <col min="10763" max="10763" width="9.28515625" style="101" customWidth="1"/>
    <col min="10764" max="10764" width="9.28515625" style="101" bestFit="1" customWidth="1"/>
    <col min="10765" max="10765" width="13.140625" style="101" customWidth="1"/>
    <col min="10766" max="10766" width="13.5703125" style="101" customWidth="1"/>
    <col min="10767" max="10767" width="9.5703125" style="101" customWidth="1"/>
    <col min="10768" max="10768" width="14.85546875" style="101" customWidth="1"/>
    <col min="10769" max="11008" width="9.140625" style="101"/>
    <col min="11009" max="11009" width="5.5703125" style="101" customWidth="1"/>
    <col min="11010" max="11010" width="33.5703125" style="101" customWidth="1"/>
    <col min="11011" max="11011" width="15.5703125" style="101" customWidth="1"/>
    <col min="11012" max="11012" width="9.5703125" style="101" customWidth="1"/>
    <col min="11013" max="11013" width="11.7109375" style="101" customWidth="1"/>
    <col min="11014" max="11014" width="13.140625" style="101" customWidth="1"/>
    <col min="11015" max="11015" width="10.85546875" style="101" customWidth="1"/>
    <col min="11016" max="11016" width="9.28515625" style="101" bestFit="1" customWidth="1"/>
    <col min="11017" max="11017" width="12.140625" style="101" customWidth="1"/>
    <col min="11018" max="11018" width="12.7109375" style="101" customWidth="1"/>
    <col min="11019" max="11019" width="9.28515625" style="101" customWidth="1"/>
    <col min="11020" max="11020" width="9.28515625" style="101" bestFit="1" customWidth="1"/>
    <col min="11021" max="11021" width="13.140625" style="101" customWidth="1"/>
    <col min="11022" max="11022" width="13.5703125" style="101" customWidth="1"/>
    <col min="11023" max="11023" width="9.5703125" style="101" customWidth="1"/>
    <col min="11024" max="11024" width="14.85546875" style="101" customWidth="1"/>
    <col min="11025" max="11264" width="9.140625" style="101"/>
    <col min="11265" max="11265" width="5.5703125" style="101" customWidth="1"/>
    <col min="11266" max="11266" width="33.5703125" style="101" customWidth="1"/>
    <col min="11267" max="11267" width="15.5703125" style="101" customWidth="1"/>
    <col min="11268" max="11268" width="9.5703125" style="101" customWidth="1"/>
    <col min="11269" max="11269" width="11.7109375" style="101" customWidth="1"/>
    <col min="11270" max="11270" width="13.140625" style="101" customWidth="1"/>
    <col min="11271" max="11271" width="10.85546875" style="101" customWidth="1"/>
    <col min="11272" max="11272" width="9.28515625" style="101" bestFit="1" customWidth="1"/>
    <col min="11273" max="11273" width="12.140625" style="101" customWidth="1"/>
    <col min="11274" max="11274" width="12.7109375" style="101" customWidth="1"/>
    <col min="11275" max="11275" width="9.28515625" style="101" customWidth="1"/>
    <col min="11276" max="11276" width="9.28515625" style="101" bestFit="1" customWidth="1"/>
    <col min="11277" max="11277" width="13.140625" style="101" customWidth="1"/>
    <col min="11278" max="11278" width="13.5703125" style="101" customWidth="1"/>
    <col min="11279" max="11279" width="9.5703125" style="101" customWidth="1"/>
    <col min="11280" max="11280" width="14.85546875" style="101" customWidth="1"/>
    <col min="11281" max="11520" width="9.140625" style="101"/>
    <col min="11521" max="11521" width="5.5703125" style="101" customWidth="1"/>
    <col min="11522" max="11522" width="33.5703125" style="101" customWidth="1"/>
    <col min="11523" max="11523" width="15.5703125" style="101" customWidth="1"/>
    <col min="11524" max="11524" width="9.5703125" style="101" customWidth="1"/>
    <col min="11525" max="11525" width="11.7109375" style="101" customWidth="1"/>
    <col min="11526" max="11526" width="13.140625" style="101" customWidth="1"/>
    <col min="11527" max="11527" width="10.85546875" style="101" customWidth="1"/>
    <col min="11528" max="11528" width="9.28515625" style="101" bestFit="1" customWidth="1"/>
    <col min="11529" max="11529" width="12.140625" style="101" customWidth="1"/>
    <col min="11530" max="11530" width="12.7109375" style="101" customWidth="1"/>
    <col min="11531" max="11531" width="9.28515625" style="101" customWidth="1"/>
    <col min="11532" max="11532" width="9.28515625" style="101" bestFit="1" customWidth="1"/>
    <col min="11533" max="11533" width="13.140625" style="101" customWidth="1"/>
    <col min="11534" max="11534" width="13.5703125" style="101" customWidth="1"/>
    <col min="11535" max="11535" width="9.5703125" style="101" customWidth="1"/>
    <col min="11536" max="11536" width="14.85546875" style="101" customWidth="1"/>
    <col min="11537" max="11776" width="9.140625" style="101"/>
    <col min="11777" max="11777" width="5.5703125" style="101" customWidth="1"/>
    <col min="11778" max="11778" width="33.5703125" style="101" customWidth="1"/>
    <col min="11779" max="11779" width="15.5703125" style="101" customWidth="1"/>
    <col min="11780" max="11780" width="9.5703125" style="101" customWidth="1"/>
    <col min="11781" max="11781" width="11.7109375" style="101" customWidth="1"/>
    <col min="11782" max="11782" width="13.140625" style="101" customWidth="1"/>
    <col min="11783" max="11783" width="10.85546875" style="101" customWidth="1"/>
    <col min="11784" max="11784" width="9.28515625" style="101" bestFit="1" customWidth="1"/>
    <col min="11785" max="11785" width="12.140625" style="101" customWidth="1"/>
    <col min="11786" max="11786" width="12.7109375" style="101" customWidth="1"/>
    <col min="11787" max="11787" width="9.28515625" style="101" customWidth="1"/>
    <col min="11788" max="11788" width="9.28515625" style="101" bestFit="1" customWidth="1"/>
    <col min="11789" max="11789" width="13.140625" style="101" customWidth="1"/>
    <col min="11790" max="11790" width="13.5703125" style="101" customWidth="1"/>
    <col min="11791" max="11791" width="9.5703125" style="101" customWidth="1"/>
    <col min="11792" max="11792" width="14.85546875" style="101" customWidth="1"/>
    <col min="11793" max="12032" width="9.140625" style="101"/>
    <col min="12033" max="12033" width="5.5703125" style="101" customWidth="1"/>
    <col min="12034" max="12034" width="33.5703125" style="101" customWidth="1"/>
    <col min="12035" max="12035" width="15.5703125" style="101" customWidth="1"/>
    <col min="12036" max="12036" width="9.5703125" style="101" customWidth="1"/>
    <col min="12037" max="12037" width="11.7109375" style="101" customWidth="1"/>
    <col min="12038" max="12038" width="13.140625" style="101" customWidth="1"/>
    <col min="12039" max="12039" width="10.85546875" style="101" customWidth="1"/>
    <col min="12040" max="12040" width="9.28515625" style="101" bestFit="1" customWidth="1"/>
    <col min="12041" max="12041" width="12.140625" style="101" customWidth="1"/>
    <col min="12042" max="12042" width="12.7109375" style="101" customWidth="1"/>
    <col min="12043" max="12043" width="9.28515625" style="101" customWidth="1"/>
    <col min="12044" max="12044" width="9.28515625" style="101" bestFit="1" customWidth="1"/>
    <col min="12045" max="12045" width="13.140625" style="101" customWidth="1"/>
    <col min="12046" max="12046" width="13.5703125" style="101" customWidth="1"/>
    <col min="12047" max="12047" width="9.5703125" style="101" customWidth="1"/>
    <col min="12048" max="12048" width="14.85546875" style="101" customWidth="1"/>
    <col min="12049" max="12288" width="9.140625" style="101"/>
    <col min="12289" max="12289" width="5.5703125" style="101" customWidth="1"/>
    <col min="12290" max="12290" width="33.5703125" style="101" customWidth="1"/>
    <col min="12291" max="12291" width="15.5703125" style="101" customWidth="1"/>
    <col min="12292" max="12292" width="9.5703125" style="101" customWidth="1"/>
    <col min="12293" max="12293" width="11.7109375" style="101" customWidth="1"/>
    <col min="12294" max="12294" width="13.140625" style="101" customWidth="1"/>
    <col min="12295" max="12295" width="10.85546875" style="101" customWidth="1"/>
    <col min="12296" max="12296" width="9.28515625" style="101" bestFit="1" customWidth="1"/>
    <col min="12297" max="12297" width="12.140625" style="101" customWidth="1"/>
    <col min="12298" max="12298" width="12.7109375" style="101" customWidth="1"/>
    <col min="12299" max="12299" width="9.28515625" style="101" customWidth="1"/>
    <col min="12300" max="12300" width="9.28515625" style="101" bestFit="1" customWidth="1"/>
    <col min="12301" max="12301" width="13.140625" style="101" customWidth="1"/>
    <col min="12302" max="12302" width="13.5703125" style="101" customWidth="1"/>
    <col min="12303" max="12303" width="9.5703125" style="101" customWidth="1"/>
    <col min="12304" max="12304" width="14.85546875" style="101" customWidth="1"/>
    <col min="12305" max="12544" width="9.140625" style="101"/>
    <col min="12545" max="12545" width="5.5703125" style="101" customWidth="1"/>
    <col min="12546" max="12546" width="33.5703125" style="101" customWidth="1"/>
    <col min="12547" max="12547" width="15.5703125" style="101" customWidth="1"/>
    <col min="12548" max="12548" width="9.5703125" style="101" customWidth="1"/>
    <col min="12549" max="12549" width="11.7109375" style="101" customWidth="1"/>
    <col min="12550" max="12550" width="13.140625" style="101" customWidth="1"/>
    <col min="12551" max="12551" width="10.85546875" style="101" customWidth="1"/>
    <col min="12552" max="12552" width="9.28515625" style="101" bestFit="1" customWidth="1"/>
    <col min="12553" max="12553" width="12.140625" style="101" customWidth="1"/>
    <col min="12554" max="12554" width="12.7109375" style="101" customWidth="1"/>
    <col min="12555" max="12555" width="9.28515625" style="101" customWidth="1"/>
    <col min="12556" max="12556" width="9.28515625" style="101" bestFit="1" customWidth="1"/>
    <col min="12557" max="12557" width="13.140625" style="101" customWidth="1"/>
    <col min="12558" max="12558" width="13.5703125" style="101" customWidth="1"/>
    <col min="12559" max="12559" width="9.5703125" style="101" customWidth="1"/>
    <col min="12560" max="12560" width="14.85546875" style="101" customWidth="1"/>
    <col min="12561" max="12800" width="9.140625" style="101"/>
    <col min="12801" max="12801" width="5.5703125" style="101" customWidth="1"/>
    <col min="12802" max="12802" width="33.5703125" style="101" customWidth="1"/>
    <col min="12803" max="12803" width="15.5703125" style="101" customWidth="1"/>
    <col min="12804" max="12804" width="9.5703125" style="101" customWidth="1"/>
    <col min="12805" max="12805" width="11.7109375" style="101" customWidth="1"/>
    <col min="12806" max="12806" width="13.140625" style="101" customWidth="1"/>
    <col min="12807" max="12807" width="10.85546875" style="101" customWidth="1"/>
    <col min="12808" max="12808" width="9.28515625" style="101" bestFit="1" customWidth="1"/>
    <col min="12809" max="12809" width="12.140625" style="101" customWidth="1"/>
    <col min="12810" max="12810" width="12.7109375" style="101" customWidth="1"/>
    <col min="12811" max="12811" width="9.28515625" style="101" customWidth="1"/>
    <col min="12812" max="12812" width="9.28515625" style="101" bestFit="1" customWidth="1"/>
    <col min="12813" max="12813" width="13.140625" style="101" customWidth="1"/>
    <col min="12814" max="12814" width="13.5703125" style="101" customWidth="1"/>
    <col min="12815" max="12815" width="9.5703125" style="101" customWidth="1"/>
    <col min="12816" max="12816" width="14.85546875" style="101" customWidth="1"/>
    <col min="12817" max="13056" width="9.140625" style="101"/>
    <col min="13057" max="13057" width="5.5703125" style="101" customWidth="1"/>
    <col min="13058" max="13058" width="33.5703125" style="101" customWidth="1"/>
    <col min="13059" max="13059" width="15.5703125" style="101" customWidth="1"/>
    <col min="13060" max="13060" width="9.5703125" style="101" customWidth="1"/>
    <col min="13061" max="13061" width="11.7109375" style="101" customWidth="1"/>
    <col min="13062" max="13062" width="13.140625" style="101" customWidth="1"/>
    <col min="13063" max="13063" width="10.85546875" style="101" customWidth="1"/>
    <col min="13064" max="13064" width="9.28515625" style="101" bestFit="1" customWidth="1"/>
    <col min="13065" max="13065" width="12.140625" style="101" customWidth="1"/>
    <col min="13066" max="13066" width="12.7109375" style="101" customWidth="1"/>
    <col min="13067" max="13067" width="9.28515625" style="101" customWidth="1"/>
    <col min="13068" max="13068" width="9.28515625" style="101" bestFit="1" customWidth="1"/>
    <col min="13069" max="13069" width="13.140625" style="101" customWidth="1"/>
    <col min="13070" max="13070" width="13.5703125" style="101" customWidth="1"/>
    <col min="13071" max="13071" width="9.5703125" style="101" customWidth="1"/>
    <col min="13072" max="13072" width="14.85546875" style="101" customWidth="1"/>
    <col min="13073" max="13312" width="9.140625" style="101"/>
    <col min="13313" max="13313" width="5.5703125" style="101" customWidth="1"/>
    <col min="13314" max="13314" width="33.5703125" style="101" customWidth="1"/>
    <col min="13315" max="13315" width="15.5703125" style="101" customWidth="1"/>
    <col min="13316" max="13316" width="9.5703125" style="101" customWidth="1"/>
    <col min="13317" max="13317" width="11.7109375" style="101" customWidth="1"/>
    <col min="13318" max="13318" width="13.140625" style="101" customWidth="1"/>
    <col min="13319" max="13319" width="10.85546875" style="101" customWidth="1"/>
    <col min="13320" max="13320" width="9.28515625" style="101" bestFit="1" customWidth="1"/>
    <col min="13321" max="13321" width="12.140625" style="101" customWidth="1"/>
    <col min="13322" max="13322" width="12.7109375" style="101" customWidth="1"/>
    <col min="13323" max="13323" width="9.28515625" style="101" customWidth="1"/>
    <col min="13324" max="13324" width="9.28515625" style="101" bestFit="1" customWidth="1"/>
    <col min="13325" max="13325" width="13.140625" style="101" customWidth="1"/>
    <col min="13326" max="13326" width="13.5703125" style="101" customWidth="1"/>
    <col min="13327" max="13327" width="9.5703125" style="101" customWidth="1"/>
    <col min="13328" max="13328" width="14.85546875" style="101" customWidth="1"/>
    <col min="13329" max="13568" width="9.140625" style="101"/>
    <col min="13569" max="13569" width="5.5703125" style="101" customWidth="1"/>
    <col min="13570" max="13570" width="33.5703125" style="101" customWidth="1"/>
    <col min="13571" max="13571" width="15.5703125" style="101" customWidth="1"/>
    <col min="13572" max="13572" width="9.5703125" style="101" customWidth="1"/>
    <col min="13573" max="13573" width="11.7109375" style="101" customWidth="1"/>
    <col min="13574" max="13574" width="13.140625" style="101" customWidth="1"/>
    <col min="13575" max="13575" width="10.85546875" style="101" customWidth="1"/>
    <col min="13576" max="13576" width="9.28515625" style="101" bestFit="1" customWidth="1"/>
    <col min="13577" max="13577" width="12.140625" style="101" customWidth="1"/>
    <col min="13578" max="13578" width="12.7109375" style="101" customWidth="1"/>
    <col min="13579" max="13579" width="9.28515625" style="101" customWidth="1"/>
    <col min="13580" max="13580" width="9.28515625" style="101" bestFit="1" customWidth="1"/>
    <col min="13581" max="13581" width="13.140625" style="101" customWidth="1"/>
    <col min="13582" max="13582" width="13.5703125" style="101" customWidth="1"/>
    <col min="13583" max="13583" width="9.5703125" style="101" customWidth="1"/>
    <col min="13584" max="13584" width="14.85546875" style="101" customWidth="1"/>
    <col min="13585" max="13824" width="9.140625" style="101"/>
    <col min="13825" max="13825" width="5.5703125" style="101" customWidth="1"/>
    <col min="13826" max="13826" width="33.5703125" style="101" customWidth="1"/>
    <col min="13827" max="13827" width="15.5703125" style="101" customWidth="1"/>
    <col min="13828" max="13828" width="9.5703125" style="101" customWidth="1"/>
    <col min="13829" max="13829" width="11.7109375" style="101" customWidth="1"/>
    <col min="13830" max="13830" width="13.140625" style="101" customWidth="1"/>
    <col min="13831" max="13831" width="10.85546875" style="101" customWidth="1"/>
    <col min="13832" max="13832" width="9.28515625" style="101" bestFit="1" customWidth="1"/>
    <col min="13833" max="13833" width="12.140625" style="101" customWidth="1"/>
    <col min="13834" max="13834" width="12.7109375" style="101" customWidth="1"/>
    <col min="13835" max="13835" width="9.28515625" style="101" customWidth="1"/>
    <col min="13836" max="13836" width="9.28515625" style="101" bestFit="1" customWidth="1"/>
    <col min="13837" max="13837" width="13.140625" style="101" customWidth="1"/>
    <col min="13838" max="13838" width="13.5703125" style="101" customWidth="1"/>
    <col min="13839" max="13839" width="9.5703125" style="101" customWidth="1"/>
    <col min="13840" max="13840" width="14.85546875" style="101" customWidth="1"/>
    <col min="13841" max="14080" width="9.140625" style="101"/>
    <col min="14081" max="14081" width="5.5703125" style="101" customWidth="1"/>
    <col min="14082" max="14082" width="33.5703125" style="101" customWidth="1"/>
    <col min="14083" max="14083" width="15.5703125" style="101" customWidth="1"/>
    <col min="14084" max="14084" width="9.5703125" style="101" customWidth="1"/>
    <col min="14085" max="14085" width="11.7109375" style="101" customWidth="1"/>
    <col min="14086" max="14086" width="13.140625" style="101" customWidth="1"/>
    <col min="14087" max="14087" width="10.85546875" style="101" customWidth="1"/>
    <col min="14088" max="14088" width="9.28515625" style="101" bestFit="1" customWidth="1"/>
    <col min="14089" max="14089" width="12.140625" style="101" customWidth="1"/>
    <col min="14090" max="14090" width="12.7109375" style="101" customWidth="1"/>
    <col min="14091" max="14091" width="9.28515625" style="101" customWidth="1"/>
    <col min="14092" max="14092" width="9.28515625" style="101" bestFit="1" customWidth="1"/>
    <col min="14093" max="14093" width="13.140625" style="101" customWidth="1"/>
    <col min="14094" max="14094" width="13.5703125" style="101" customWidth="1"/>
    <col min="14095" max="14095" width="9.5703125" style="101" customWidth="1"/>
    <col min="14096" max="14096" width="14.85546875" style="101" customWidth="1"/>
    <col min="14097" max="14336" width="9.140625" style="101"/>
    <col min="14337" max="14337" width="5.5703125" style="101" customWidth="1"/>
    <col min="14338" max="14338" width="33.5703125" style="101" customWidth="1"/>
    <col min="14339" max="14339" width="15.5703125" style="101" customWidth="1"/>
    <col min="14340" max="14340" width="9.5703125" style="101" customWidth="1"/>
    <col min="14341" max="14341" width="11.7109375" style="101" customWidth="1"/>
    <col min="14342" max="14342" width="13.140625" style="101" customWidth="1"/>
    <col min="14343" max="14343" width="10.85546875" style="101" customWidth="1"/>
    <col min="14344" max="14344" width="9.28515625" style="101" bestFit="1" customWidth="1"/>
    <col min="14345" max="14345" width="12.140625" style="101" customWidth="1"/>
    <col min="14346" max="14346" width="12.7109375" style="101" customWidth="1"/>
    <col min="14347" max="14347" width="9.28515625" style="101" customWidth="1"/>
    <col min="14348" max="14348" width="9.28515625" style="101" bestFit="1" customWidth="1"/>
    <col min="14349" max="14349" width="13.140625" style="101" customWidth="1"/>
    <col min="14350" max="14350" width="13.5703125" style="101" customWidth="1"/>
    <col min="14351" max="14351" width="9.5703125" style="101" customWidth="1"/>
    <col min="14352" max="14352" width="14.85546875" style="101" customWidth="1"/>
    <col min="14353" max="14592" width="9.140625" style="101"/>
    <col min="14593" max="14593" width="5.5703125" style="101" customWidth="1"/>
    <col min="14594" max="14594" width="33.5703125" style="101" customWidth="1"/>
    <col min="14595" max="14595" width="15.5703125" style="101" customWidth="1"/>
    <col min="14596" max="14596" width="9.5703125" style="101" customWidth="1"/>
    <col min="14597" max="14597" width="11.7109375" style="101" customWidth="1"/>
    <col min="14598" max="14598" width="13.140625" style="101" customWidth="1"/>
    <col min="14599" max="14599" width="10.85546875" style="101" customWidth="1"/>
    <col min="14600" max="14600" width="9.28515625" style="101" bestFit="1" customWidth="1"/>
    <col min="14601" max="14601" width="12.140625" style="101" customWidth="1"/>
    <col min="14602" max="14602" width="12.7109375" style="101" customWidth="1"/>
    <col min="14603" max="14603" width="9.28515625" style="101" customWidth="1"/>
    <col min="14604" max="14604" width="9.28515625" style="101" bestFit="1" customWidth="1"/>
    <col min="14605" max="14605" width="13.140625" style="101" customWidth="1"/>
    <col min="14606" max="14606" width="13.5703125" style="101" customWidth="1"/>
    <col min="14607" max="14607" width="9.5703125" style="101" customWidth="1"/>
    <col min="14608" max="14608" width="14.85546875" style="101" customWidth="1"/>
    <col min="14609" max="14848" width="9.140625" style="101"/>
    <col min="14849" max="14849" width="5.5703125" style="101" customWidth="1"/>
    <col min="14850" max="14850" width="33.5703125" style="101" customWidth="1"/>
    <col min="14851" max="14851" width="15.5703125" style="101" customWidth="1"/>
    <col min="14852" max="14852" width="9.5703125" style="101" customWidth="1"/>
    <col min="14853" max="14853" width="11.7109375" style="101" customWidth="1"/>
    <col min="14854" max="14854" width="13.140625" style="101" customWidth="1"/>
    <col min="14855" max="14855" width="10.85546875" style="101" customWidth="1"/>
    <col min="14856" max="14856" width="9.28515625" style="101" bestFit="1" customWidth="1"/>
    <col min="14857" max="14857" width="12.140625" style="101" customWidth="1"/>
    <col min="14858" max="14858" width="12.7109375" style="101" customWidth="1"/>
    <col min="14859" max="14859" width="9.28515625" style="101" customWidth="1"/>
    <col min="14860" max="14860" width="9.28515625" style="101" bestFit="1" customWidth="1"/>
    <col min="14861" max="14861" width="13.140625" style="101" customWidth="1"/>
    <col min="14862" max="14862" width="13.5703125" style="101" customWidth="1"/>
    <col min="14863" max="14863" width="9.5703125" style="101" customWidth="1"/>
    <col min="14864" max="14864" width="14.85546875" style="101" customWidth="1"/>
    <col min="14865" max="15104" width="9.140625" style="101"/>
    <col min="15105" max="15105" width="5.5703125" style="101" customWidth="1"/>
    <col min="15106" max="15106" width="33.5703125" style="101" customWidth="1"/>
    <col min="15107" max="15107" width="15.5703125" style="101" customWidth="1"/>
    <col min="15108" max="15108" width="9.5703125" style="101" customWidth="1"/>
    <col min="15109" max="15109" width="11.7109375" style="101" customWidth="1"/>
    <col min="15110" max="15110" width="13.140625" style="101" customWidth="1"/>
    <col min="15111" max="15111" width="10.85546875" style="101" customWidth="1"/>
    <col min="15112" max="15112" width="9.28515625" style="101" bestFit="1" customWidth="1"/>
    <col min="15113" max="15113" width="12.140625" style="101" customWidth="1"/>
    <col min="15114" max="15114" width="12.7109375" style="101" customWidth="1"/>
    <col min="15115" max="15115" width="9.28515625" style="101" customWidth="1"/>
    <col min="15116" max="15116" width="9.28515625" style="101" bestFit="1" customWidth="1"/>
    <col min="15117" max="15117" width="13.140625" style="101" customWidth="1"/>
    <col min="15118" max="15118" width="13.5703125" style="101" customWidth="1"/>
    <col min="15119" max="15119" width="9.5703125" style="101" customWidth="1"/>
    <col min="15120" max="15120" width="14.85546875" style="101" customWidth="1"/>
    <col min="15121" max="15360" width="9.140625" style="101"/>
    <col min="15361" max="15361" width="5.5703125" style="101" customWidth="1"/>
    <col min="15362" max="15362" width="33.5703125" style="101" customWidth="1"/>
    <col min="15363" max="15363" width="15.5703125" style="101" customWidth="1"/>
    <col min="15364" max="15364" width="9.5703125" style="101" customWidth="1"/>
    <col min="15365" max="15365" width="11.7109375" style="101" customWidth="1"/>
    <col min="15366" max="15366" width="13.140625" style="101" customWidth="1"/>
    <col min="15367" max="15367" width="10.85546875" style="101" customWidth="1"/>
    <col min="15368" max="15368" width="9.28515625" style="101" bestFit="1" customWidth="1"/>
    <col min="15369" max="15369" width="12.140625" style="101" customWidth="1"/>
    <col min="15370" max="15370" width="12.7109375" style="101" customWidth="1"/>
    <col min="15371" max="15371" width="9.28515625" style="101" customWidth="1"/>
    <col min="15372" max="15372" width="9.28515625" style="101" bestFit="1" customWidth="1"/>
    <col min="15373" max="15373" width="13.140625" style="101" customWidth="1"/>
    <col min="15374" max="15374" width="13.5703125" style="101" customWidth="1"/>
    <col min="15375" max="15375" width="9.5703125" style="101" customWidth="1"/>
    <col min="15376" max="15376" width="14.85546875" style="101" customWidth="1"/>
    <col min="15377" max="15616" width="9.140625" style="101"/>
    <col min="15617" max="15617" width="5.5703125" style="101" customWidth="1"/>
    <col min="15618" max="15618" width="33.5703125" style="101" customWidth="1"/>
    <col min="15619" max="15619" width="15.5703125" style="101" customWidth="1"/>
    <col min="15620" max="15620" width="9.5703125" style="101" customWidth="1"/>
    <col min="15621" max="15621" width="11.7109375" style="101" customWidth="1"/>
    <col min="15622" max="15622" width="13.140625" style="101" customWidth="1"/>
    <col min="15623" max="15623" width="10.85546875" style="101" customWidth="1"/>
    <col min="15624" max="15624" width="9.28515625" style="101" bestFit="1" customWidth="1"/>
    <col min="15625" max="15625" width="12.140625" style="101" customWidth="1"/>
    <col min="15626" max="15626" width="12.7109375" style="101" customWidth="1"/>
    <col min="15627" max="15627" width="9.28515625" style="101" customWidth="1"/>
    <col min="15628" max="15628" width="9.28515625" style="101" bestFit="1" customWidth="1"/>
    <col min="15629" max="15629" width="13.140625" style="101" customWidth="1"/>
    <col min="15630" max="15630" width="13.5703125" style="101" customWidth="1"/>
    <col min="15631" max="15631" width="9.5703125" style="101" customWidth="1"/>
    <col min="15632" max="15632" width="14.85546875" style="101" customWidth="1"/>
    <col min="15633" max="15872" width="9.140625" style="101"/>
    <col min="15873" max="15873" width="5.5703125" style="101" customWidth="1"/>
    <col min="15874" max="15874" width="33.5703125" style="101" customWidth="1"/>
    <col min="15875" max="15875" width="15.5703125" style="101" customWidth="1"/>
    <col min="15876" max="15876" width="9.5703125" style="101" customWidth="1"/>
    <col min="15877" max="15877" width="11.7109375" style="101" customWidth="1"/>
    <col min="15878" max="15878" width="13.140625" style="101" customWidth="1"/>
    <col min="15879" max="15879" width="10.85546875" style="101" customWidth="1"/>
    <col min="15880" max="15880" width="9.28515625" style="101" bestFit="1" customWidth="1"/>
    <col min="15881" max="15881" width="12.140625" style="101" customWidth="1"/>
    <col min="15882" max="15882" width="12.7109375" style="101" customWidth="1"/>
    <col min="15883" max="15883" width="9.28515625" style="101" customWidth="1"/>
    <col min="15884" max="15884" width="9.28515625" style="101" bestFit="1" customWidth="1"/>
    <col min="15885" max="15885" width="13.140625" style="101" customWidth="1"/>
    <col min="15886" max="15886" width="13.5703125" style="101" customWidth="1"/>
    <col min="15887" max="15887" width="9.5703125" style="101" customWidth="1"/>
    <col min="15888" max="15888" width="14.85546875" style="101" customWidth="1"/>
    <col min="15889" max="16128" width="9.140625" style="101"/>
    <col min="16129" max="16129" width="5.5703125" style="101" customWidth="1"/>
    <col min="16130" max="16130" width="33.5703125" style="101" customWidth="1"/>
    <col min="16131" max="16131" width="15.5703125" style="101" customWidth="1"/>
    <col min="16132" max="16132" width="9.5703125" style="101" customWidth="1"/>
    <col min="16133" max="16133" width="11.7109375" style="101" customWidth="1"/>
    <col min="16134" max="16134" width="13.140625" style="101" customWidth="1"/>
    <col min="16135" max="16135" width="10.85546875" style="101" customWidth="1"/>
    <col min="16136" max="16136" width="9.28515625" style="101" bestFit="1" customWidth="1"/>
    <col min="16137" max="16137" width="12.140625" style="101" customWidth="1"/>
    <col min="16138" max="16138" width="12.7109375" style="101" customWidth="1"/>
    <col min="16139" max="16139" width="9.28515625" style="101" customWidth="1"/>
    <col min="16140" max="16140" width="9.28515625" style="101" bestFit="1" customWidth="1"/>
    <col min="16141" max="16141" width="13.140625" style="101" customWidth="1"/>
    <col min="16142" max="16142" width="13.5703125" style="101" customWidth="1"/>
    <col min="16143" max="16143" width="9.5703125" style="101" customWidth="1"/>
    <col min="16144" max="16144" width="14.85546875" style="101" customWidth="1"/>
    <col min="16145" max="16384" width="9.140625" style="101"/>
  </cols>
  <sheetData>
    <row r="1" spans="1:16" ht="48" customHeight="1">
      <c r="L1" s="243" t="s">
        <v>787</v>
      </c>
      <c r="M1" s="243"/>
      <c r="N1" s="243"/>
      <c r="O1" s="243"/>
      <c r="P1" s="243"/>
    </row>
    <row r="3" spans="1:16">
      <c r="A3" s="244" t="s">
        <v>429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>
      <c r="A4" s="244" t="s">
        <v>316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6" spans="1:16">
      <c r="A6" s="245" t="s">
        <v>430</v>
      </c>
      <c r="B6" s="245" t="s">
        <v>431</v>
      </c>
      <c r="C6" s="246" t="s">
        <v>432</v>
      </c>
      <c r="D6" s="246" t="s">
        <v>433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 t="s">
        <v>434</v>
      </c>
    </row>
    <row r="7" spans="1:16" ht="17.25" customHeight="1">
      <c r="A7" s="245"/>
      <c r="B7" s="245"/>
      <c r="C7" s="246"/>
      <c r="D7" s="241" t="s">
        <v>94</v>
      </c>
      <c r="E7" s="242"/>
      <c r="F7" s="242"/>
      <c r="G7" s="247"/>
      <c r="H7" s="241" t="s">
        <v>435</v>
      </c>
      <c r="I7" s="242"/>
      <c r="J7" s="242"/>
      <c r="K7" s="242"/>
      <c r="L7" s="241" t="s">
        <v>317</v>
      </c>
      <c r="M7" s="242"/>
      <c r="N7" s="242"/>
      <c r="O7" s="242"/>
      <c r="P7" s="246"/>
    </row>
    <row r="8" spans="1:16" ht="78.75">
      <c r="A8" s="245"/>
      <c r="B8" s="245"/>
      <c r="C8" s="246"/>
      <c r="D8" s="104" t="s">
        <v>436</v>
      </c>
      <c r="E8" s="104" t="s">
        <v>437</v>
      </c>
      <c r="F8" s="104" t="s">
        <v>438</v>
      </c>
      <c r="G8" s="105" t="s">
        <v>439</v>
      </c>
      <c r="H8" s="104" t="s">
        <v>436</v>
      </c>
      <c r="I8" s="104" t="s">
        <v>437</v>
      </c>
      <c r="J8" s="104" t="s">
        <v>438</v>
      </c>
      <c r="K8" s="105" t="s">
        <v>439</v>
      </c>
      <c r="L8" s="104" t="s">
        <v>436</v>
      </c>
      <c r="M8" s="104" t="s">
        <v>437</v>
      </c>
      <c r="N8" s="104" t="s">
        <v>438</v>
      </c>
      <c r="O8" s="105" t="s">
        <v>439</v>
      </c>
      <c r="P8" s="246"/>
    </row>
    <row r="9" spans="1:16" s="111" customFormat="1">
      <c r="A9" s="106" t="s">
        <v>440</v>
      </c>
      <c r="B9" s="107" t="s">
        <v>31</v>
      </c>
      <c r="C9" s="108" t="s">
        <v>441</v>
      </c>
      <c r="D9" s="109">
        <f t="shared" ref="D9:F10" si="0">D10</f>
        <v>1234.5999999999999</v>
      </c>
      <c r="E9" s="109">
        <f t="shared" si="0"/>
        <v>951.3</v>
      </c>
      <c r="F9" s="109">
        <f t="shared" si="0"/>
        <v>36548.199999999997</v>
      </c>
      <c r="G9" s="109">
        <f>D9+E9+F9</f>
        <v>38734.1</v>
      </c>
      <c r="H9" s="109">
        <f t="shared" ref="H9:J10" si="1">H10</f>
        <v>9141.7999999999993</v>
      </c>
      <c r="I9" s="109">
        <f t="shared" si="1"/>
        <v>36567.1</v>
      </c>
      <c r="J9" s="109">
        <f t="shared" si="1"/>
        <v>36615.4</v>
      </c>
      <c r="K9" s="109">
        <f>H9+I9+J9</f>
        <v>82324.299999999988</v>
      </c>
      <c r="L9" s="109">
        <f t="shared" ref="L9:N10" si="2">L10</f>
        <v>0</v>
      </c>
      <c r="M9" s="109">
        <f t="shared" si="2"/>
        <v>0</v>
      </c>
      <c r="N9" s="109">
        <f t="shared" si="2"/>
        <v>0</v>
      </c>
      <c r="O9" s="109">
        <f>L9+M9+N9</f>
        <v>0</v>
      </c>
      <c r="P9" s="110" t="s">
        <v>39</v>
      </c>
    </row>
    <row r="10" spans="1:16">
      <c r="A10" s="112" t="s">
        <v>442</v>
      </c>
      <c r="B10" s="113" t="s">
        <v>11</v>
      </c>
      <c r="C10" s="114" t="s">
        <v>441</v>
      </c>
      <c r="D10" s="115">
        <f t="shared" si="0"/>
        <v>1234.5999999999999</v>
      </c>
      <c r="E10" s="115">
        <f t="shared" si="0"/>
        <v>951.3</v>
      </c>
      <c r="F10" s="115">
        <f t="shared" si="0"/>
        <v>36548.199999999997</v>
      </c>
      <c r="G10" s="109">
        <f>D10+E10+F10</f>
        <v>38734.1</v>
      </c>
      <c r="H10" s="115">
        <f t="shared" si="1"/>
        <v>9141.7999999999993</v>
      </c>
      <c r="I10" s="115">
        <f t="shared" si="1"/>
        <v>36567.1</v>
      </c>
      <c r="J10" s="115">
        <f t="shared" si="1"/>
        <v>36615.4</v>
      </c>
      <c r="K10" s="109">
        <f>H10+I10+J10</f>
        <v>82324.299999999988</v>
      </c>
      <c r="L10" s="115">
        <f t="shared" si="2"/>
        <v>0</v>
      </c>
      <c r="M10" s="115">
        <f t="shared" si="2"/>
        <v>0</v>
      </c>
      <c r="N10" s="115">
        <f t="shared" si="2"/>
        <v>0</v>
      </c>
      <c r="O10" s="109">
        <f>L10+M10+N10</f>
        <v>0</v>
      </c>
      <c r="P10" s="116" t="s">
        <v>53</v>
      </c>
    </row>
    <row r="11" spans="1:16" ht="72" customHeight="1">
      <c r="A11" s="112" t="s">
        <v>443</v>
      </c>
      <c r="B11" s="113" t="s">
        <v>444</v>
      </c>
      <c r="C11" s="117" t="s">
        <v>445</v>
      </c>
      <c r="D11" s="118">
        <f>237.8+'№ 6'!E371</f>
        <v>1234.5999999999999</v>
      </c>
      <c r="E11" s="118">
        <v>951.3</v>
      </c>
      <c r="F11" s="118">
        <v>36548.199999999997</v>
      </c>
      <c r="G11" s="109">
        <f>D11+E11+F11</f>
        <v>38734.1</v>
      </c>
      <c r="H11" s="118">
        <v>9141.7999999999993</v>
      </c>
      <c r="I11" s="118">
        <f>'[1]№ 5'!F350+953.1</f>
        <v>36567.1</v>
      </c>
      <c r="J11" s="118">
        <f>37568.5-953.1</f>
        <v>36615.4</v>
      </c>
      <c r="K11" s="109">
        <f>H11+I11+J11</f>
        <v>82324.299999999988</v>
      </c>
      <c r="L11" s="118">
        <v>0</v>
      </c>
      <c r="M11" s="118">
        <f>'[1]№ 5'!G350</f>
        <v>0</v>
      </c>
      <c r="N11" s="118">
        <v>0</v>
      </c>
      <c r="O11" s="109">
        <f>L11+M11+N11</f>
        <v>0</v>
      </c>
      <c r="P11" s="116" t="s">
        <v>53</v>
      </c>
    </row>
    <row r="12" spans="1:16" s="111" customFormat="1">
      <c r="A12" s="106" t="s">
        <v>446</v>
      </c>
      <c r="B12" s="107" t="s">
        <v>33</v>
      </c>
      <c r="C12" s="119" t="s">
        <v>441</v>
      </c>
      <c r="D12" s="109">
        <f t="shared" ref="D12:F13" si="3">D13</f>
        <v>0</v>
      </c>
      <c r="E12" s="109">
        <f t="shared" si="3"/>
        <v>5872.6999999999989</v>
      </c>
      <c r="F12" s="109">
        <f t="shared" si="3"/>
        <v>0</v>
      </c>
      <c r="G12" s="109">
        <f>D12+E12+F12</f>
        <v>5872.6999999999989</v>
      </c>
      <c r="H12" s="109">
        <f t="shared" ref="H12:N12" si="4">H13</f>
        <v>0</v>
      </c>
      <c r="I12" s="109">
        <f t="shared" si="4"/>
        <v>7830.1</v>
      </c>
      <c r="J12" s="109">
        <f t="shared" si="4"/>
        <v>0</v>
      </c>
      <c r="K12" s="109">
        <f t="shared" ref="K12:K17" si="5">H12+I12+J12</f>
        <v>7830.1</v>
      </c>
      <c r="L12" s="109">
        <f t="shared" si="4"/>
        <v>0</v>
      </c>
      <c r="M12" s="109">
        <f t="shared" si="4"/>
        <v>12723.9</v>
      </c>
      <c r="N12" s="109">
        <f t="shared" si="4"/>
        <v>0</v>
      </c>
      <c r="O12" s="109">
        <f t="shared" ref="O12:O17" si="6">L12+M12+N12</f>
        <v>12723.9</v>
      </c>
      <c r="P12" s="110" t="s">
        <v>41</v>
      </c>
    </row>
    <row r="13" spans="1:16">
      <c r="A13" s="112" t="s">
        <v>447</v>
      </c>
      <c r="B13" s="113" t="s">
        <v>89</v>
      </c>
      <c r="C13" s="120" t="s">
        <v>441</v>
      </c>
      <c r="D13" s="115">
        <f t="shared" si="3"/>
        <v>0</v>
      </c>
      <c r="E13" s="115">
        <f t="shared" si="3"/>
        <v>5872.6999999999989</v>
      </c>
      <c r="F13" s="115">
        <f t="shared" si="3"/>
        <v>0</v>
      </c>
      <c r="G13" s="109">
        <f t="shared" ref="G13:G17" si="7">D13+E13+F13</f>
        <v>5872.6999999999989</v>
      </c>
      <c r="H13" s="115">
        <f>H14</f>
        <v>0</v>
      </c>
      <c r="I13" s="115">
        <f>I14</f>
        <v>7830.1</v>
      </c>
      <c r="J13" s="115">
        <f>J14</f>
        <v>0</v>
      </c>
      <c r="K13" s="109">
        <f t="shared" si="5"/>
        <v>7830.1</v>
      </c>
      <c r="L13" s="115">
        <f>L14</f>
        <v>0</v>
      </c>
      <c r="M13" s="115">
        <f>M14</f>
        <v>12723.9</v>
      </c>
      <c r="N13" s="115">
        <f>N14</f>
        <v>0</v>
      </c>
      <c r="O13" s="109">
        <f t="shared" si="6"/>
        <v>12723.9</v>
      </c>
      <c r="P13" s="116" t="s">
        <v>88</v>
      </c>
    </row>
    <row r="14" spans="1:16" ht="126.75" customHeight="1">
      <c r="A14" s="112" t="s">
        <v>448</v>
      </c>
      <c r="B14" s="113" t="s">
        <v>449</v>
      </c>
      <c r="C14" s="113" t="s">
        <v>3</v>
      </c>
      <c r="D14" s="118">
        <v>0</v>
      </c>
      <c r="E14" s="118">
        <f>'[1]№ 4'!F565+'[1]№ 4'!F568</f>
        <v>5872.6999999999989</v>
      </c>
      <c r="F14" s="118">
        <v>0</v>
      </c>
      <c r="G14" s="109">
        <f t="shared" si="7"/>
        <v>5872.6999999999989</v>
      </c>
      <c r="H14" s="118">
        <v>0</v>
      </c>
      <c r="I14" s="118">
        <f>'[1]№ 4'!G565</f>
        <v>7830.1</v>
      </c>
      <c r="J14" s="118">
        <v>0</v>
      </c>
      <c r="K14" s="109">
        <f t="shared" si="5"/>
        <v>7830.1</v>
      </c>
      <c r="L14" s="118">
        <v>0</v>
      </c>
      <c r="M14" s="118">
        <f>'[1]№ 4'!H565</f>
        <v>12723.9</v>
      </c>
      <c r="N14" s="118">
        <v>0</v>
      </c>
      <c r="O14" s="109">
        <f t="shared" si="6"/>
        <v>12723.9</v>
      </c>
      <c r="P14" s="116" t="s">
        <v>88</v>
      </c>
    </row>
    <row r="15" spans="1:16" s="111" customFormat="1" ht="31.5">
      <c r="A15" s="201" t="s">
        <v>450</v>
      </c>
      <c r="B15" s="107" t="s">
        <v>32</v>
      </c>
      <c r="C15" s="108" t="s">
        <v>441</v>
      </c>
      <c r="D15" s="203">
        <f>D16</f>
        <v>0</v>
      </c>
      <c r="E15" s="203">
        <f t="shared" ref="E15:F16" si="8">E16</f>
        <v>0</v>
      </c>
      <c r="F15" s="203">
        <f t="shared" si="8"/>
        <v>0</v>
      </c>
      <c r="G15" s="109">
        <f t="shared" si="7"/>
        <v>0</v>
      </c>
      <c r="H15" s="109">
        <f>H16</f>
        <v>2996.1</v>
      </c>
      <c r="I15" s="109">
        <f t="shared" ref="I15:J16" si="9">I16</f>
        <v>0</v>
      </c>
      <c r="J15" s="109">
        <f t="shared" si="9"/>
        <v>0</v>
      </c>
      <c r="K15" s="109">
        <f t="shared" si="5"/>
        <v>2996.1</v>
      </c>
      <c r="L15" s="203">
        <f>L16</f>
        <v>0</v>
      </c>
      <c r="M15" s="203">
        <f t="shared" ref="M15:N16" si="10">M16</f>
        <v>0</v>
      </c>
      <c r="N15" s="203">
        <f t="shared" si="10"/>
        <v>0</v>
      </c>
      <c r="O15" s="109">
        <f t="shared" si="6"/>
        <v>0</v>
      </c>
      <c r="P15" s="121">
        <v>1100</v>
      </c>
    </row>
    <row r="16" spans="1:16">
      <c r="A16" s="202" t="s">
        <v>451</v>
      </c>
      <c r="B16" s="59" t="s">
        <v>65</v>
      </c>
      <c r="C16" s="114" t="s">
        <v>441</v>
      </c>
      <c r="D16" s="204">
        <f>D17</f>
        <v>0</v>
      </c>
      <c r="E16" s="204">
        <f t="shared" si="8"/>
        <v>0</v>
      </c>
      <c r="F16" s="204">
        <f t="shared" si="8"/>
        <v>0</v>
      </c>
      <c r="G16" s="109">
        <f t="shared" si="7"/>
        <v>0</v>
      </c>
      <c r="H16" s="204">
        <f>H17</f>
        <v>2996.1</v>
      </c>
      <c r="I16" s="204">
        <f t="shared" si="9"/>
        <v>0</v>
      </c>
      <c r="J16" s="204">
        <f t="shared" si="9"/>
        <v>0</v>
      </c>
      <c r="K16" s="109">
        <f t="shared" si="5"/>
        <v>2996.1</v>
      </c>
      <c r="L16" s="204">
        <f>L17</f>
        <v>0</v>
      </c>
      <c r="M16" s="204">
        <f t="shared" si="10"/>
        <v>0</v>
      </c>
      <c r="N16" s="204">
        <f t="shared" si="10"/>
        <v>0</v>
      </c>
      <c r="O16" s="109">
        <f t="shared" si="6"/>
        <v>0</v>
      </c>
      <c r="P16" s="116">
        <v>1102</v>
      </c>
    </row>
    <row r="17" spans="1:16" ht="94.5">
      <c r="A17" s="202" t="s">
        <v>452</v>
      </c>
      <c r="B17" s="113" t="s">
        <v>453</v>
      </c>
      <c r="C17" s="117" t="s">
        <v>445</v>
      </c>
      <c r="D17" s="118">
        <v>0</v>
      </c>
      <c r="E17" s="118">
        <v>0</v>
      </c>
      <c r="F17" s="118">
        <v>0</v>
      </c>
      <c r="G17" s="109">
        <f t="shared" si="7"/>
        <v>0</v>
      </c>
      <c r="H17" s="204">
        <f>'№ 6'!F655</f>
        <v>2996.1</v>
      </c>
      <c r="I17" s="204">
        <v>0</v>
      </c>
      <c r="J17" s="204">
        <v>0</v>
      </c>
      <c r="K17" s="109">
        <f t="shared" si="5"/>
        <v>2996.1</v>
      </c>
      <c r="L17" s="118">
        <v>0</v>
      </c>
      <c r="M17" s="118">
        <v>0</v>
      </c>
      <c r="N17" s="118">
        <v>0</v>
      </c>
      <c r="O17" s="109">
        <f t="shared" si="6"/>
        <v>0</v>
      </c>
      <c r="P17" s="116">
        <v>1102</v>
      </c>
    </row>
    <row r="18" spans="1:16" ht="15.75" customHeight="1">
      <c r="A18" s="199"/>
      <c r="B18" s="122" t="s">
        <v>439</v>
      </c>
      <c r="C18" s="200"/>
      <c r="D18" s="109">
        <f t="shared" ref="D18:O18" si="11">D12+D9+D15</f>
        <v>1234.5999999999999</v>
      </c>
      <c r="E18" s="109">
        <f t="shared" si="11"/>
        <v>6823.9999999999991</v>
      </c>
      <c r="F18" s="109">
        <f t="shared" si="11"/>
        <v>36548.199999999997</v>
      </c>
      <c r="G18" s="109">
        <f t="shared" si="11"/>
        <v>44606.799999999996</v>
      </c>
      <c r="H18" s="109">
        <f t="shared" si="11"/>
        <v>12137.9</v>
      </c>
      <c r="I18" s="109">
        <f t="shared" si="11"/>
        <v>44397.2</v>
      </c>
      <c r="J18" s="109">
        <f t="shared" si="11"/>
        <v>36615.4</v>
      </c>
      <c r="K18" s="109">
        <f t="shared" si="11"/>
        <v>93150.5</v>
      </c>
      <c r="L18" s="109">
        <f t="shared" si="11"/>
        <v>0</v>
      </c>
      <c r="M18" s="109">
        <f t="shared" si="11"/>
        <v>12723.9</v>
      </c>
      <c r="N18" s="109">
        <f t="shared" si="11"/>
        <v>0</v>
      </c>
      <c r="O18" s="109">
        <f t="shared" si="11"/>
        <v>12723.9</v>
      </c>
      <c r="P18" s="116" t="s">
        <v>441</v>
      </c>
    </row>
    <row r="19" spans="1:16" ht="2.25" hidden="1" customHeight="1">
      <c r="A19" s="123"/>
      <c r="B19" s="123"/>
      <c r="C19" s="124"/>
      <c r="D19" s="125"/>
      <c r="E19" s="125"/>
      <c r="F19" s="125"/>
      <c r="G19" s="126"/>
      <c r="H19" s="125"/>
      <c r="I19" s="125"/>
      <c r="J19" s="125"/>
      <c r="K19" s="126"/>
      <c r="L19" s="125"/>
      <c r="M19" s="125"/>
      <c r="N19" s="125"/>
      <c r="O19" s="126"/>
      <c r="P19" s="127"/>
    </row>
    <row r="20" spans="1:16" ht="15.6" hidden="1" customHeight="1">
      <c r="A20" s="123"/>
      <c r="B20" s="123"/>
      <c r="C20" s="124"/>
      <c r="D20" s="125"/>
      <c r="E20" s="125"/>
      <c r="F20" s="125"/>
      <c r="G20" s="126"/>
      <c r="H20" s="125"/>
      <c r="I20" s="125"/>
      <c r="J20" s="125"/>
      <c r="K20" s="126"/>
      <c r="L20" s="125"/>
      <c r="M20" s="125"/>
      <c r="N20" s="125"/>
      <c r="O20" s="126"/>
      <c r="P20" s="127"/>
    </row>
    <row r="21" spans="1:16" ht="15.6" hidden="1" customHeight="1">
      <c r="A21" s="123"/>
      <c r="B21" s="123"/>
      <c r="C21" s="124"/>
      <c r="D21" s="125" t="e">
        <f>#REF!+#REF!+#REF!</f>
        <v>#REF!</v>
      </c>
      <c r="E21" s="125" t="e">
        <f>#REF!+#REF!+#REF!</f>
        <v>#REF!</v>
      </c>
      <c r="F21" s="125" t="e">
        <f>#REF!+#REF!+#REF!</f>
        <v>#REF!</v>
      </c>
      <c r="G21" s="125" t="e">
        <f>#REF!+#REF!+#REF!</f>
        <v>#REF!</v>
      </c>
      <c r="H21" s="125" t="e">
        <f>#REF!+#REF!+#REF!</f>
        <v>#REF!</v>
      </c>
      <c r="I21" s="125" t="e">
        <f>#REF!+#REF!+#REF!</f>
        <v>#REF!</v>
      </c>
      <c r="J21" s="125" t="e">
        <f>#REF!+#REF!+#REF!</f>
        <v>#REF!</v>
      </c>
      <c r="K21" s="125" t="e">
        <f>#REF!+#REF!+#REF!</f>
        <v>#REF!</v>
      </c>
      <c r="L21" s="125" t="e">
        <f>#REF!+#REF!+#REF!</f>
        <v>#REF!</v>
      </c>
      <c r="M21" s="125" t="e">
        <f>#REF!+#REF!+#REF!</f>
        <v>#REF!</v>
      </c>
      <c r="N21" s="125" t="e">
        <f>#REF!+#REF!+#REF!</f>
        <v>#REF!</v>
      </c>
      <c r="O21" s="125" t="e">
        <f>#REF!+#REF!+#REF!</f>
        <v>#REF!</v>
      </c>
      <c r="P21" s="127"/>
    </row>
  </sheetData>
  <mergeCells count="11">
    <mergeCell ref="L7:O7"/>
    <mergeCell ref="L1:P1"/>
    <mergeCell ref="A3:P3"/>
    <mergeCell ref="A4:P4"/>
    <mergeCell ref="A6:A8"/>
    <mergeCell ref="B6:B8"/>
    <mergeCell ref="C6:C8"/>
    <mergeCell ref="D6:O6"/>
    <mergeCell ref="P6:P8"/>
    <mergeCell ref="D7:G7"/>
    <mergeCell ref="H7:K7"/>
  </mergeCells>
  <pageMargins left="0.47244094488188981" right="0.15748031496062992" top="1.1023622047244095" bottom="0.35433070866141736" header="0.31496062992125984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№1 </vt:lpstr>
      <vt:lpstr>№ 3</vt:lpstr>
      <vt:lpstr>№ 4 </vt:lpstr>
      <vt:lpstr>№ 5</vt:lpstr>
      <vt:lpstr>№ 6</vt:lpstr>
      <vt:lpstr>№7</vt:lpstr>
      <vt:lpstr>№8</vt:lpstr>
      <vt:lpstr>№9</vt:lpstr>
      <vt:lpstr>'№ 4 '!Область_печати</vt:lpstr>
      <vt:lpstr>'№ 5'!Область_печати</vt:lpstr>
      <vt:lpstr>'№ 6'!Область_печати</vt:lpstr>
      <vt:lpstr>№9!Область_печати</vt:lpstr>
    </vt:vector>
  </TitlesOfParts>
  <Company>ОФ и ЭА Администрация города Торжка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Маслобойщикова</dc:creator>
  <cp:lastModifiedBy>Vershinskaya</cp:lastModifiedBy>
  <cp:lastPrinted>2019-12-26T13:59:16Z</cp:lastPrinted>
  <dcterms:created xsi:type="dcterms:W3CDTF">2007-11-30T05:39:28Z</dcterms:created>
  <dcterms:modified xsi:type="dcterms:W3CDTF">2019-12-26T13:59:23Z</dcterms:modified>
</cp:coreProperties>
</file>