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defaultThemeVersion="124226"/>
  <bookViews>
    <workbookView xWindow="12015" yWindow="90" windowWidth="10770" windowHeight="9465" activeTab="10"/>
  </bookViews>
  <sheets>
    <sheet name="№1" sheetId="157" r:id="rId1"/>
    <sheet name="№2" sheetId="162" r:id="rId2"/>
    <sheet name="№3" sheetId="165" r:id="rId3"/>
    <sheet name="№4" sheetId="168" r:id="rId4"/>
    <sheet name="№5" sheetId="143" r:id="rId5"/>
    <sheet name="№6" sheetId="154" r:id="rId6"/>
    <sheet name="№7" sheetId="155" r:id="rId7"/>
    <sheet name="№ 8" sheetId="147" r:id="rId8"/>
    <sheet name="№9" sheetId="161" r:id="rId9"/>
    <sheet name="№ 10" sheetId="156" r:id="rId10"/>
    <sheet name="№11" sheetId="160" r:id="rId11"/>
  </sheets>
  <definedNames>
    <definedName name="_xlnm._FilterDatabase" localSheetId="3" hidden="1">№4!$A$8:$G$109</definedName>
    <definedName name="_xlnm._FilterDatabase" localSheetId="5" hidden="1">№6!$A$1:$G$885</definedName>
    <definedName name="_xlnm.Print_Area" localSheetId="9">'№ 10'!$A$1:$L$21</definedName>
    <definedName name="_xlnm.Print_Area" localSheetId="4">№5!$A$1:$D$47</definedName>
    <definedName name="_xlnm.Print_Area" localSheetId="5">№6!$A$1:$G$885</definedName>
  </definedNames>
  <calcPr calcId="124519"/>
  <fileRecoveryPr autoRecover="0"/>
</workbook>
</file>

<file path=xl/calcChain.xml><?xml version="1.0" encoding="utf-8"?>
<calcChain xmlns="http://schemas.openxmlformats.org/spreadsheetml/2006/main">
  <c r="D140" i="165"/>
  <c r="C140"/>
  <c r="D138"/>
  <c r="D137" s="1"/>
  <c r="C138"/>
  <c r="C137" s="1"/>
  <c r="D135"/>
  <c r="D134" s="1"/>
  <c r="C135"/>
  <c r="C134" s="1"/>
  <c r="D132"/>
  <c r="D131" s="1"/>
  <c r="C132"/>
  <c r="C131" s="1"/>
  <c r="D123"/>
  <c r="C123"/>
  <c r="D121"/>
  <c r="C121"/>
  <c r="D119"/>
  <c r="C119"/>
  <c r="C118"/>
  <c r="D117"/>
  <c r="C117"/>
  <c r="C114" s="1"/>
  <c r="D114"/>
  <c r="C104"/>
  <c r="C103"/>
  <c r="C102"/>
  <c r="C97" s="1"/>
  <c r="C96" s="1"/>
  <c r="D97"/>
  <c r="D96"/>
  <c r="D94"/>
  <c r="C94"/>
  <c r="D93"/>
  <c r="C93"/>
  <c r="D89"/>
  <c r="C89"/>
  <c r="D87"/>
  <c r="C87"/>
  <c r="C69" s="1"/>
  <c r="D84"/>
  <c r="C84"/>
  <c r="C83"/>
  <c r="C82" s="1"/>
  <c r="D82"/>
  <c r="D80"/>
  <c r="C80"/>
  <c r="D76"/>
  <c r="C76"/>
  <c r="D74"/>
  <c r="C74"/>
  <c r="D70"/>
  <c r="D69" s="1"/>
  <c r="C70"/>
  <c r="D67"/>
  <c r="D66" s="1"/>
  <c r="C67"/>
  <c r="C66"/>
  <c r="D64"/>
  <c r="D63" s="1"/>
  <c r="D62" s="1"/>
  <c r="C64"/>
  <c r="C63"/>
  <c r="C62" s="1"/>
  <c r="D60"/>
  <c r="C60"/>
  <c r="C59" s="1"/>
  <c r="C58" s="1"/>
  <c r="D59"/>
  <c r="D58" s="1"/>
  <c r="D56"/>
  <c r="D53" s="1"/>
  <c r="D52" s="1"/>
  <c r="C56"/>
  <c r="C53"/>
  <c r="C52" s="1"/>
  <c r="D50"/>
  <c r="C50"/>
  <c r="C49" s="1"/>
  <c r="D49"/>
  <c r="C48"/>
  <c r="D47"/>
  <c r="D46" s="1"/>
  <c r="C47"/>
  <c r="C46" s="1"/>
  <c r="C45"/>
  <c r="C44" s="1"/>
  <c r="D44"/>
  <c r="D39" s="1"/>
  <c r="D38" s="1"/>
  <c r="D42"/>
  <c r="C42"/>
  <c r="C41"/>
  <c r="C40" s="1"/>
  <c r="C39" s="1"/>
  <c r="C38" s="1"/>
  <c r="D40"/>
  <c r="C37"/>
  <c r="C36" s="1"/>
  <c r="C35" s="1"/>
  <c r="D36"/>
  <c r="D35" s="1"/>
  <c r="D33"/>
  <c r="C33"/>
  <c r="D31"/>
  <c r="C31"/>
  <c r="C30" s="1"/>
  <c r="D30"/>
  <c r="D27" s="1"/>
  <c r="D28"/>
  <c r="C28"/>
  <c r="D25"/>
  <c r="C25"/>
  <c r="D23"/>
  <c r="C23"/>
  <c r="D21"/>
  <c r="C21"/>
  <c r="C20" s="1"/>
  <c r="D20"/>
  <c r="D15"/>
  <c r="C15"/>
  <c r="C14" s="1"/>
  <c r="D14"/>
  <c r="D10"/>
  <c r="C10"/>
  <c r="C9" s="1"/>
  <c r="D9"/>
  <c r="D92" l="1"/>
  <c r="D91" s="1"/>
  <c r="D8"/>
  <c r="D142" s="1"/>
  <c r="C8"/>
  <c r="C142" s="1"/>
  <c r="C27"/>
  <c r="C92"/>
  <c r="C91" s="1"/>
  <c r="E11" i="162" l="1"/>
  <c r="E17" s="1"/>
  <c r="D11"/>
  <c r="D17"/>
  <c r="D12" i="157"/>
  <c r="C12"/>
  <c r="D16" i="162" l="1"/>
  <c r="D15"/>
  <c r="H20" i="156" l="1"/>
  <c r="H15"/>
  <c r="E448" i="147" l="1"/>
  <c r="E447" s="1"/>
  <c r="E446" s="1"/>
  <c r="E445" s="1"/>
  <c r="E460"/>
  <c r="E459" s="1"/>
  <c r="E458" s="1"/>
  <c r="E466"/>
  <c r="E465" s="1"/>
  <c r="E464" s="1"/>
  <c r="E381"/>
  <c r="E380" s="1"/>
  <c r="E379" s="1"/>
  <c r="E378" s="1"/>
  <c r="E385"/>
  <c r="E384" s="1"/>
  <c r="E383" s="1"/>
  <c r="E382" s="1"/>
  <c r="E389"/>
  <c r="E388" s="1"/>
  <c r="E387" s="1"/>
  <c r="E386" s="1"/>
  <c r="E366"/>
  <c r="E365" s="1"/>
  <c r="E364" s="1"/>
  <c r="E363" s="1"/>
  <c r="E377" l="1"/>
  <c r="E367"/>
  <c r="F131" i="155"/>
  <c r="E420" i="147" s="1"/>
  <c r="E419" s="1"/>
  <c r="E418" s="1"/>
  <c r="E417" s="1"/>
  <c r="F441" i="155"/>
  <c r="E375" i="147" s="1"/>
  <c r="E374" s="1"/>
  <c r="E373" s="1"/>
  <c r="E372" s="1"/>
  <c r="F437" i="155"/>
  <c r="E371" i="147" s="1"/>
  <c r="E370" s="1"/>
  <c r="E369" s="1"/>
  <c r="E368" s="1"/>
  <c r="F411" i="155"/>
  <c r="F124"/>
  <c r="F490"/>
  <c r="E439" i="147" s="1"/>
  <c r="E438" s="1"/>
  <c r="E437" s="1"/>
  <c r="E436" s="1"/>
  <c r="F520" i="155"/>
  <c r="E257" i="147" s="1"/>
  <c r="E256" s="1"/>
  <c r="E255" s="1"/>
  <c r="E520" i="155"/>
  <c r="F123" l="1"/>
  <c r="E394" i="147"/>
  <c r="E393" s="1"/>
  <c r="E392" s="1"/>
  <c r="G103" i="154" l="1"/>
  <c r="G855"/>
  <c r="G794" l="1"/>
  <c r="F32" l="1"/>
  <c r="F637"/>
  <c r="F378"/>
  <c r="F729"/>
  <c r="C23" i="157" l="1"/>
  <c r="C20"/>
  <c r="F46" i="155"/>
  <c r="F45" s="1"/>
  <c r="F44" s="1"/>
  <c r="E46"/>
  <c r="E45" s="1"/>
  <c r="E44" s="1"/>
  <c r="G28" i="154"/>
  <c r="G27" s="1"/>
  <c r="F28"/>
  <c r="F27" s="1"/>
  <c r="F38" i="155"/>
  <c r="F37" s="1"/>
  <c r="F36" s="1"/>
  <c r="E38"/>
  <c r="E37" s="1"/>
  <c r="E36" s="1"/>
  <c r="G20" i="154"/>
  <c r="G19" s="1"/>
  <c r="F20"/>
  <c r="F19" s="1"/>
  <c r="F20" i="155"/>
  <c r="F23"/>
  <c r="E20"/>
  <c r="E19" s="1"/>
  <c r="E18" s="1"/>
  <c r="E23"/>
  <c r="E22" s="1"/>
  <c r="E21" s="1"/>
  <c r="G630" i="154"/>
  <c r="G629" s="1"/>
  <c r="F630"/>
  <c r="F629" s="1"/>
  <c r="G627"/>
  <c r="G626" s="1"/>
  <c r="F627"/>
  <c r="F626" s="1"/>
  <c r="F74" i="155"/>
  <c r="E74"/>
  <c r="G506" i="154"/>
  <c r="G505" s="1"/>
  <c r="F506"/>
  <c r="F505" s="1"/>
  <c r="F510"/>
  <c r="F71" i="155"/>
  <c r="E71"/>
  <c r="E70" s="1"/>
  <c r="E69" s="1"/>
  <c r="G503" i="154"/>
  <c r="G502" s="1"/>
  <c r="F503"/>
  <c r="F502" s="1"/>
  <c r="F826"/>
  <c r="F823"/>
  <c r="F758"/>
  <c r="F755"/>
  <c r="F732"/>
  <c r="F446"/>
  <c r="F443"/>
  <c r="F360"/>
  <c r="F299"/>
  <c r="F296"/>
  <c r="F159"/>
  <c r="F156"/>
  <c r="F190" i="155"/>
  <c r="E537" i="147" s="1"/>
  <c r="E536" s="1"/>
  <c r="E535" s="1"/>
  <c r="E190" i="155"/>
  <c r="D537" i="147" s="1"/>
  <c r="D536" s="1"/>
  <c r="D535" s="1"/>
  <c r="G132" i="154"/>
  <c r="G131" s="1"/>
  <c r="F132"/>
  <c r="F131" s="1"/>
  <c r="F121"/>
  <c r="F187" i="155"/>
  <c r="E187"/>
  <c r="E186" s="1"/>
  <c r="E185" s="1"/>
  <c r="G129" i="154"/>
  <c r="G128" s="1"/>
  <c r="F129"/>
  <c r="F128" s="1"/>
  <c r="F290"/>
  <c r="F440"/>
  <c r="F723"/>
  <c r="F749"/>
  <c r="F153"/>
  <c r="F817"/>
  <c r="F141"/>
  <c r="F70" i="155" l="1"/>
  <c r="F69" s="1"/>
  <c r="E489" i="147"/>
  <c r="E488" s="1"/>
  <c r="E487" s="1"/>
  <c r="F22" i="155"/>
  <c r="F21" s="1"/>
  <c r="E477" i="147"/>
  <c r="E476" s="1"/>
  <c r="E475" s="1"/>
  <c r="F73" i="155"/>
  <c r="F72" s="1"/>
  <c r="E505" i="147"/>
  <c r="E504" s="1"/>
  <c r="E503" s="1"/>
  <c r="F19" i="155"/>
  <c r="F18" s="1"/>
  <c r="E474" i="147"/>
  <c r="E473" s="1"/>
  <c r="E472" s="1"/>
  <c r="F186" i="155"/>
  <c r="F185" s="1"/>
  <c r="E534" i="147"/>
  <c r="E533" s="1"/>
  <c r="E532" s="1"/>
  <c r="D505"/>
  <c r="D504" s="1"/>
  <c r="D503" s="1"/>
  <c r="D474"/>
  <c r="D473" s="1"/>
  <c r="D472" s="1"/>
  <c r="D489"/>
  <c r="D488" s="1"/>
  <c r="D487" s="1"/>
  <c r="D477"/>
  <c r="D476" s="1"/>
  <c r="D475" s="1"/>
  <c r="E73" i="155"/>
  <c r="E72" s="1"/>
  <c r="D534" i="147"/>
  <c r="D533" s="1"/>
  <c r="D532" s="1"/>
  <c r="E189" i="155"/>
  <c r="E188" s="1"/>
  <c r="F189"/>
  <c r="F188" s="1"/>
  <c r="F474" i="154" l="1"/>
  <c r="F468"/>
  <c r="F466"/>
  <c r="F464"/>
  <c r="F457"/>
  <c r="D20" i="156" s="1"/>
  <c r="F492" i="154" l="1"/>
  <c r="F736" l="1"/>
  <c r="F460"/>
  <c r="F381"/>
  <c r="F363"/>
  <c r="F580"/>
  <c r="F634"/>
  <c r="F547" i="155"/>
  <c r="F546" s="1"/>
  <c r="E547"/>
  <c r="E546" s="1"/>
  <c r="G867" i="154"/>
  <c r="F867"/>
  <c r="F866"/>
  <c r="F118"/>
  <c r="F41"/>
  <c r="F14"/>
  <c r="F123"/>
  <c r="F829"/>
  <c r="F302"/>
  <c r="F375"/>
  <c r="F357"/>
  <c r="F820"/>
  <c r="F293"/>
  <c r="F454"/>
  <c r="C11" i="160" l="1"/>
  <c r="F598" i="154"/>
  <c r="F609"/>
  <c r="F561"/>
  <c r="F558"/>
  <c r="E124" i="155" s="1"/>
  <c r="E123" s="1"/>
  <c r="F211" i="154"/>
  <c r="F203"/>
  <c r="F94"/>
  <c r="F707"/>
  <c r="F191"/>
  <c r="F265"/>
  <c r="F261"/>
  <c r="F237"/>
  <c r="F885"/>
  <c r="F883"/>
  <c r="F772"/>
  <c r="F333"/>
  <c r="F801"/>
  <c r="F76"/>
  <c r="F389"/>
  <c r="F412"/>
  <c r="F410"/>
  <c r="F67"/>
  <c r="F522"/>
  <c r="F582"/>
  <c r="F639"/>
  <c r="F534"/>
  <c r="F873"/>
  <c r="F38"/>
  <c r="F752"/>
  <c r="F726"/>
  <c r="F810"/>
  <c r="F146"/>
  <c r="F144"/>
  <c r="F154" i="155" l="1"/>
  <c r="E457" i="147" s="1"/>
  <c r="E154" i="155"/>
  <c r="D457" i="147" s="1"/>
  <c r="E131" i="155"/>
  <c r="F139"/>
  <c r="F90" i="154"/>
  <c r="F89" s="1"/>
  <c r="F88" s="1"/>
  <c r="F87"/>
  <c r="F86" s="1"/>
  <c r="F85" s="1"/>
  <c r="G89"/>
  <c r="G88" s="1"/>
  <c r="G86"/>
  <c r="G85" s="1"/>
  <c r="G84" s="1"/>
  <c r="G81"/>
  <c r="G80" s="1"/>
  <c r="G79" s="1"/>
  <c r="G78" s="1"/>
  <c r="F81"/>
  <c r="F80" s="1"/>
  <c r="F79" s="1"/>
  <c r="F78" s="1"/>
  <c r="F138" i="155" l="1"/>
  <c r="F137" s="1"/>
  <c r="E430" i="147"/>
  <c r="E429" s="1"/>
  <c r="E428" s="1"/>
  <c r="E139" i="155"/>
  <c r="F84" i="154"/>
  <c r="F81" i="155" l="1"/>
  <c r="F80" s="1"/>
  <c r="E81"/>
  <c r="G513" i="154"/>
  <c r="F513"/>
  <c r="F306"/>
  <c r="F182" i="155"/>
  <c r="E182"/>
  <c r="E181" s="1"/>
  <c r="G124" i="154"/>
  <c r="F124"/>
  <c r="F542"/>
  <c r="F321"/>
  <c r="F529"/>
  <c r="E136" i="155" s="1"/>
  <c r="E490" l="1"/>
  <c r="F181"/>
  <c r="E529" i="147"/>
  <c r="E528" s="1"/>
  <c r="D529"/>
  <c r="D528" s="1"/>
  <c r="E80" i="155"/>
  <c r="F216" i="154"/>
  <c r="F575"/>
  <c r="F549"/>
  <c r="F127"/>
  <c r="F104"/>
  <c r="F103" s="1"/>
  <c r="F512"/>
  <c r="F860"/>
  <c r="F856"/>
  <c r="F854"/>
  <c r="F309"/>
  <c r="G384"/>
  <c r="G383" s="1"/>
  <c r="G382" s="1"/>
  <c r="F590" i="155"/>
  <c r="E590"/>
  <c r="E589" s="1"/>
  <c r="E588" s="1"/>
  <c r="E587" s="1"/>
  <c r="F384" i="154"/>
  <c r="F383" s="1"/>
  <c r="F382" s="1"/>
  <c r="F495"/>
  <c r="F425"/>
  <c r="F423"/>
  <c r="F61"/>
  <c r="F419"/>
  <c r="F393"/>
  <c r="F572" i="155"/>
  <c r="E572"/>
  <c r="D128" i="147" s="1"/>
  <c r="D127" s="1"/>
  <c r="D126" s="1"/>
  <c r="G366" i="154"/>
  <c r="G365" s="1"/>
  <c r="F366"/>
  <c r="F365" s="1"/>
  <c r="F571" i="155" l="1"/>
  <c r="F570" s="1"/>
  <c r="E128" i="147"/>
  <c r="E127" s="1"/>
  <c r="E126" s="1"/>
  <c r="F589" i="155"/>
  <c r="F588" s="1"/>
  <c r="F587" s="1"/>
  <c r="E146" i="147"/>
  <c r="E145" s="1"/>
  <c r="E144" s="1"/>
  <c r="E143" s="1"/>
  <c r="D146"/>
  <c r="D145" s="1"/>
  <c r="D144" s="1"/>
  <c r="D143" s="1"/>
  <c r="E571" i="155"/>
  <c r="E570" s="1"/>
  <c r="F296"/>
  <c r="E296"/>
  <c r="D347" i="147" s="1"/>
  <c r="D346" s="1"/>
  <c r="D345" s="1"/>
  <c r="G226" i="154"/>
  <c r="G225" s="1"/>
  <c r="F226"/>
  <c r="F225" s="1"/>
  <c r="F181"/>
  <c r="F295" i="155" l="1"/>
  <c r="F294" s="1"/>
  <c r="E347" i="147"/>
  <c r="E346" s="1"/>
  <c r="E345" s="1"/>
  <c r="E295" i="155"/>
  <c r="E294" s="1"/>
  <c r="F277" i="154" l="1"/>
  <c r="F244"/>
  <c r="F319" i="155" l="1"/>
  <c r="E319"/>
  <c r="D282" i="147" s="1"/>
  <c r="D281" s="1"/>
  <c r="D280" s="1"/>
  <c r="G249" i="154"/>
  <c r="G248" s="1"/>
  <c r="F249"/>
  <c r="F248" s="1"/>
  <c r="F318" i="155" l="1"/>
  <c r="F317" s="1"/>
  <c r="E282" i="147"/>
  <c r="E281" s="1"/>
  <c r="E280" s="1"/>
  <c r="E318" i="155"/>
  <c r="E317" s="1"/>
  <c r="E441"/>
  <c r="F34" i="154" l="1"/>
  <c r="F844"/>
  <c r="F842"/>
  <c r="D375" i="147" l="1"/>
  <c r="E437" i="155"/>
  <c r="F715" i="154"/>
  <c r="F847"/>
  <c r="F782"/>
  <c r="F775"/>
  <c r="E411" i="155" s="1"/>
  <c r="F188" i="154"/>
  <c r="F769" l="1"/>
  <c r="D19" i="160"/>
  <c r="D23" s="1"/>
  <c r="C19"/>
  <c r="C23" s="1"/>
  <c r="D13"/>
  <c r="C13"/>
  <c r="D14" i="157"/>
  <c r="C14"/>
  <c r="F516" i="154"/>
  <c r="F478"/>
  <c r="K20" i="156" l="1"/>
  <c r="K19" s="1"/>
  <c r="G20"/>
  <c r="J19"/>
  <c r="J18" s="1"/>
  <c r="I19"/>
  <c r="I18" s="1"/>
  <c r="H19"/>
  <c r="H18" s="1"/>
  <c r="F19"/>
  <c r="F18" s="1"/>
  <c r="E19"/>
  <c r="E18" s="1"/>
  <c r="D19"/>
  <c r="D18" s="1"/>
  <c r="F690" i="155"/>
  <c r="E690"/>
  <c r="E689" s="1"/>
  <c r="E688" s="1"/>
  <c r="G456" i="154"/>
  <c r="G455" s="1"/>
  <c r="F456"/>
  <c r="F455" s="1"/>
  <c r="F432"/>
  <c r="F779"/>
  <c r="F689" i="155" l="1"/>
  <c r="F688" s="1"/>
  <c r="E180" i="147"/>
  <c r="E179" s="1"/>
  <c r="E178" s="1"/>
  <c r="D180"/>
  <c r="D179" s="1"/>
  <c r="D178" s="1"/>
  <c r="G18" i="156"/>
  <c r="G19"/>
  <c r="K18"/>
  <c r="F271" i="154" l="1"/>
  <c r="F230"/>
  <c r="F346" i="155" l="1"/>
  <c r="E346"/>
  <c r="D309" i="147" s="1"/>
  <c r="D308" s="1"/>
  <c r="D307" s="1"/>
  <c r="G276" i="154"/>
  <c r="G275" s="1"/>
  <c r="F276"/>
  <c r="F275" s="1"/>
  <c r="F590"/>
  <c r="F258"/>
  <c r="F247"/>
  <c r="F240"/>
  <c r="F875"/>
  <c r="F345" i="155" l="1"/>
  <c r="F344" s="1"/>
  <c r="E309" i="147"/>
  <c r="E308" s="1"/>
  <c r="E307" s="1"/>
  <c r="E345" i="155"/>
  <c r="E344" s="1"/>
  <c r="F109" i="154"/>
  <c r="G109"/>
  <c r="F111"/>
  <c r="G111"/>
  <c r="F114"/>
  <c r="F113" s="1"/>
  <c r="G114"/>
  <c r="G113" s="1"/>
  <c r="F53" i="155"/>
  <c r="E512" i="147" s="1"/>
  <c r="E511" s="1"/>
  <c r="E53" i="155"/>
  <c r="G35" i="154"/>
  <c r="F35"/>
  <c r="D22" i="157"/>
  <c r="D21" s="1"/>
  <c r="C22"/>
  <c r="C21" s="1"/>
  <c r="C19"/>
  <c r="C18" s="1"/>
  <c r="D19"/>
  <c r="D18" s="1"/>
  <c r="D11"/>
  <c r="C11"/>
  <c r="F52" i="155" l="1"/>
  <c r="E52"/>
  <c r="D512" i="147"/>
  <c r="D511" s="1"/>
  <c r="F108" i="154"/>
  <c r="G108"/>
  <c r="C17" i="157"/>
  <c r="C24" s="1"/>
  <c r="D17"/>
  <c r="D24" s="1"/>
  <c r="F167" i="155" l="1"/>
  <c r="E167"/>
  <c r="D502" i="147" s="1"/>
  <c r="D501" s="1"/>
  <c r="D500" s="1"/>
  <c r="F166" i="155" l="1"/>
  <c r="F165" s="1"/>
  <c r="E502" i="147"/>
  <c r="E501" s="1"/>
  <c r="E500" s="1"/>
  <c r="E166" i="155"/>
  <c r="E165" s="1"/>
  <c r="D15" i="156"/>
  <c r="I17"/>
  <c r="E17"/>
  <c r="E16" s="1"/>
  <c r="H16"/>
  <c r="D16"/>
  <c r="J14"/>
  <c r="H14"/>
  <c r="F14"/>
  <c r="J11"/>
  <c r="J10" s="1"/>
  <c r="F11"/>
  <c r="F10" s="1"/>
  <c r="H13" l="1"/>
  <c r="D14"/>
  <c r="D13" s="1"/>
  <c r="I16"/>
  <c r="F293" i="155" l="1"/>
  <c r="E293"/>
  <c r="D344" i="147" s="1"/>
  <c r="D343" s="1"/>
  <c r="D342" s="1"/>
  <c r="G223" i="154"/>
  <c r="G222" s="1"/>
  <c r="I12" i="156" s="1"/>
  <c r="I11" s="1"/>
  <c r="I10" s="1"/>
  <c r="F223" i="154"/>
  <c r="F222" s="1"/>
  <c r="E12" i="156" s="1"/>
  <c r="E11" s="1"/>
  <c r="E10" s="1"/>
  <c r="F644" i="155"/>
  <c r="E407" i="147" s="1"/>
  <c r="E406" s="1"/>
  <c r="E405" s="1"/>
  <c r="E644" i="155"/>
  <c r="E643" s="1"/>
  <c r="E642" s="1"/>
  <c r="G605" i="154"/>
  <c r="G604" s="1"/>
  <c r="I15" i="156" s="1"/>
  <c r="F605" i="154"/>
  <c r="F604" s="1"/>
  <c r="E15" i="156" s="1"/>
  <c r="F446" i="155"/>
  <c r="F445" s="1"/>
  <c r="F444" s="1"/>
  <c r="F443" s="1"/>
  <c r="F442" s="1"/>
  <c r="E446"/>
  <c r="E445" s="1"/>
  <c r="E444" s="1"/>
  <c r="E443" s="1"/>
  <c r="E442" s="1"/>
  <c r="G809" i="154"/>
  <c r="G808" s="1"/>
  <c r="G807" s="1"/>
  <c r="G806" s="1"/>
  <c r="F809"/>
  <c r="F808" s="1"/>
  <c r="F807" s="1"/>
  <c r="F806" s="1"/>
  <c r="F607" i="155"/>
  <c r="F606" s="1"/>
  <c r="F605" s="1"/>
  <c r="F604" s="1"/>
  <c r="F603" s="1"/>
  <c r="E607"/>
  <c r="E606" s="1"/>
  <c r="E605" s="1"/>
  <c r="E604" s="1"/>
  <c r="E603" s="1"/>
  <c r="G401" i="154"/>
  <c r="G400" s="1"/>
  <c r="G399" s="1"/>
  <c r="G398" s="1"/>
  <c r="F401"/>
  <c r="F400" s="1"/>
  <c r="F399" s="1"/>
  <c r="F398" s="1"/>
  <c r="F483" i="155"/>
  <c r="E483"/>
  <c r="E482" s="1"/>
  <c r="E481" s="1"/>
  <c r="E480" s="1"/>
  <c r="E479" s="1"/>
  <c r="G313" i="154"/>
  <c r="G312" s="1"/>
  <c r="G311" s="1"/>
  <c r="G310" s="1"/>
  <c r="F313"/>
  <c r="F312" s="1"/>
  <c r="F311" s="1"/>
  <c r="F310" s="1"/>
  <c r="D374" i="147"/>
  <c r="D373" s="1"/>
  <c r="D372" s="1"/>
  <c r="D371"/>
  <c r="D370" s="1"/>
  <c r="D369" s="1"/>
  <c r="D368" s="1"/>
  <c r="F377" i="155"/>
  <c r="F376" s="1"/>
  <c r="F375" s="1"/>
  <c r="F374" s="1"/>
  <c r="F373" s="1"/>
  <c r="E377"/>
  <c r="E376" s="1"/>
  <c r="E375" s="1"/>
  <c r="E374" s="1"/>
  <c r="E373" s="1"/>
  <c r="F482" l="1"/>
  <c r="F481" s="1"/>
  <c r="F480" s="1"/>
  <c r="F479" s="1"/>
  <c r="E452" i="147"/>
  <c r="E451" s="1"/>
  <c r="E450" s="1"/>
  <c r="E449" s="1"/>
  <c r="F292" i="155"/>
  <c r="F291" s="1"/>
  <c r="E344" i="147"/>
  <c r="E343" s="1"/>
  <c r="E342" s="1"/>
  <c r="K15" i="156"/>
  <c r="K14" s="1"/>
  <c r="I14"/>
  <c r="I13" s="1"/>
  <c r="I21" s="1"/>
  <c r="E14"/>
  <c r="E13" s="1"/>
  <c r="E21" s="1"/>
  <c r="G15"/>
  <c r="G14" s="1"/>
  <c r="F643" i="155"/>
  <c r="F642" s="1"/>
  <c r="E292"/>
  <c r="E291" s="1"/>
  <c r="D407" i="147"/>
  <c r="D406" s="1"/>
  <c r="D405" s="1"/>
  <c r="D452"/>
  <c r="D451" s="1"/>
  <c r="D450" s="1"/>
  <c r="D449" s="1"/>
  <c r="F477" i="155"/>
  <c r="F476" s="1"/>
  <c r="F475" s="1"/>
  <c r="F474" s="1"/>
  <c r="F473" s="1"/>
  <c r="E477"/>
  <c r="E476" s="1"/>
  <c r="E475" s="1"/>
  <c r="E474" s="1"/>
  <c r="E473" s="1"/>
  <c r="G834" i="154"/>
  <c r="G833" s="1"/>
  <c r="G832" s="1"/>
  <c r="G831" s="1"/>
  <c r="G830" s="1"/>
  <c r="F834"/>
  <c r="F833" s="1"/>
  <c r="F832" s="1"/>
  <c r="F831" s="1"/>
  <c r="F830" s="1"/>
  <c r="F440" i="155"/>
  <c r="F439" s="1"/>
  <c r="F438" s="1"/>
  <c r="E440"/>
  <c r="E439" s="1"/>
  <c r="E438" s="1"/>
  <c r="G804" i="154"/>
  <c r="G803" s="1"/>
  <c r="G802" s="1"/>
  <c r="F804"/>
  <c r="F803" s="1"/>
  <c r="F802" s="1"/>
  <c r="F436" i="155"/>
  <c r="F435" s="1"/>
  <c r="F434" s="1"/>
  <c r="F433" s="1"/>
  <c r="E436"/>
  <c r="E435" s="1"/>
  <c r="E434" s="1"/>
  <c r="G800" i="154"/>
  <c r="G799" s="1"/>
  <c r="G798" s="1"/>
  <c r="F800"/>
  <c r="F799" s="1"/>
  <c r="F798" s="1"/>
  <c r="G741"/>
  <c r="G740" s="1"/>
  <c r="G739" s="1"/>
  <c r="G738" s="1"/>
  <c r="G737" s="1"/>
  <c r="F741"/>
  <c r="F740" s="1"/>
  <c r="F739" s="1"/>
  <c r="F738" s="1"/>
  <c r="F737" s="1"/>
  <c r="F410" i="155"/>
  <c r="F409" s="1"/>
  <c r="E410"/>
  <c r="E409" s="1"/>
  <c r="G774" i="154"/>
  <c r="G773" s="1"/>
  <c r="F774"/>
  <c r="F773" s="1"/>
  <c r="F327" i="155"/>
  <c r="E327"/>
  <c r="D290" i="147" s="1"/>
  <c r="D289" s="1"/>
  <c r="D288" s="1"/>
  <c r="G257" i="154"/>
  <c r="G256" s="1"/>
  <c r="F257"/>
  <c r="F256" s="1"/>
  <c r="F326" i="155" l="1"/>
  <c r="F325" s="1"/>
  <c r="E290" i="147"/>
  <c r="E289" s="1"/>
  <c r="E288" s="1"/>
  <c r="E326" i="155"/>
  <c r="E325" s="1"/>
  <c r="D420" i="147" l="1"/>
  <c r="D419" s="1"/>
  <c r="D418" s="1"/>
  <c r="D417" s="1"/>
  <c r="G564" i="154"/>
  <c r="G563" s="1"/>
  <c r="G562" s="1"/>
  <c r="F564"/>
  <c r="F563" s="1"/>
  <c r="F562" s="1"/>
  <c r="F313" i="155"/>
  <c r="E313"/>
  <c r="D276" i="147" s="1"/>
  <c r="D275" s="1"/>
  <c r="D274" s="1"/>
  <c r="F306" i="155"/>
  <c r="E306"/>
  <c r="D269" i="147" s="1"/>
  <c r="D268" s="1"/>
  <c r="D267" s="1"/>
  <c r="G236" i="154"/>
  <c r="G235" s="1"/>
  <c r="F236"/>
  <c r="F235" s="1"/>
  <c r="G243"/>
  <c r="G242" s="1"/>
  <c r="F243"/>
  <c r="F242" s="1"/>
  <c r="F153" i="155"/>
  <c r="E153"/>
  <c r="E152" s="1"/>
  <c r="E151" s="1"/>
  <c r="G102" i="154"/>
  <c r="G101" s="1"/>
  <c r="F102"/>
  <c r="F101" s="1"/>
  <c r="F575" i="155"/>
  <c r="E575"/>
  <c r="D131" i="147" s="1"/>
  <c r="D130" s="1"/>
  <c r="D129" s="1"/>
  <c r="D125" s="1"/>
  <c r="G369" i="154"/>
  <c r="G368" s="1"/>
  <c r="G364" s="1"/>
  <c r="F369"/>
  <c r="F368" s="1"/>
  <c r="F364" s="1"/>
  <c r="F305" i="155" l="1"/>
  <c r="F304" s="1"/>
  <c r="E269" i="147"/>
  <c r="E268" s="1"/>
  <c r="E267" s="1"/>
  <c r="F574" i="155"/>
  <c r="F573" s="1"/>
  <c r="F569" s="1"/>
  <c r="E131" i="147"/>
  <c r="E130" s="1"/>
  <c r="E129" s="1"/>
  <c r="E125" s="1"/>
  <c r="E456"/>
  <c r="E455" s="1"/>
  <c r="E454" s="1"/>
  <c r="F152" i="155"/>
  <c r="F312"/>
  <c r="F311" s="1"/>
  <c r="E276" i="147"/>
  <c r="E275" s="1"/>
  <c r="E274" s="1"/>
  <c r="F130" i="155"/>
  <c r="F129" s="1"/>
  <c r="F128" s="1"/>
  <c r="E130"/>
  <c r="E129" s="1"/>
  <c r="E128" s="1"/>
  <c r="E305"/>
  <c r="E304" s="1"/>
  <c r="E312"/>
  <c r="E311" s="1"/>
  <c r="E574"/>
  <c r="E573" s="1"/>
  <c r="E569" s="1"/>
  <c r="F343" i="154"/>
  <c r="F167"/>
  <c r="F651" l="1"/>
  <c r="F669" l="1"/>
  <c r="F207" l="1"/>
  <c r="F679" i="155" l="1"/>
  <c r="E679"/>
  <c r="D169" i="147" s="1"/>
  <c r="D168" s="1"/>
  <c r="D167" s="1"/>
  <c r="G445" i="154"/>
  <c r="G444" s="1"/>
  <c r="F445"/>
  <c r="F444" s="1"/>
  <c r="F216" i="155"/>
  <c r="E216"/>
  <c r="D362" i="147" s="1"/>
  <c r="D361" s="1"/>
  <c r="D360" s="1"/>
  <c r="G158" i="154"/>
  <c r="G157" s="1"/>
  <c r="F158"/>
  <c r="F157" s="1"/>
  <c r="E462" i="155"/>
  <c r="F462"/>
  <c r="G298" i="154"/>
  <c r="G297" s="1"/>
  <c r="G825"/>
  <c r="G824" s="1"/>
  <c r="F825"/>
  <c r="F824" s="1"/>
  <c r="F394" i="155"/>
  <c r="F393" s="1"/>
  <c r="F392" s="1"/>
  <c r="E394"/>
  <c r="E393" s="1"/>
  <c r="E392" s="1"/>
  <c r="G757" i="154"/>
  <c r="G756" s="1"/>
  <c r="F757"/>
  <c r="F756" s="1"/>
  <c r="F368" i="155"/>
  <c r="E368"/>
  <c r="G731" i="154"/>
  <c r="G730" s="1"/>
  <c r="F731"/>
  <c r="F730" s="1"/>
  <c r="F367" i="155" l="1"/>
  <c r="F366" s="1"/>
  <c r="E24" i="147"/>
  <c r="E23" s="1"/>
  <c r="E22" s="1"/>
  <c r="F461" i="155"/>
  <c r="F460" s="1"/>
  <c r="E77" i="147"/>
  <c r="E76" s="1"/>
  <c r="E75" s="1"/>
  <c r="F215" i="155"/>
  <c r="F214" s="1"/>
  <c r="E362" i="147"/>
  <c r="E361" s="1"/>
  <c r="E360" s="1"/>
  <c r="F678" i="155"/>
  <c r="F677" s="1"/>
  <c r="E169" i="147"/>
  <c r="E168" s="1"/>
  <c r="E167" s="1"/>
  <c r="E678" i="155"/>
  <c r="E677" s="1"/>
  <c r="D24" i="147"/>
  <c r="D23" s="1"/>
  <c r="D22" s="1"/>
  <c r="E215" i="155"/>
  <c r="E214" s="1"/>
  <c r="D77" i="147"/>
  <c r="D76" s="1"/>
  <c r="D75" s="1"/>
  <c r="E461" i="155"/>
  <c r="E460" s="1"/>
  <c r="F298" i="154"/>
  <c r="F297" s="1"/>
  <c r="E367" i="155"/>
  <c r="E366" s="1"/>
  <c r="F136" l="1"/>
  <c r="F701"/>
  <c r="E191" i="147" s="1"/>
  <c r="E190" s="1"/>
  <c r="E701" i="155"/>
  <c r="D191" i="147" s="1"/>
  <c r="F465" i="155"/>
  <c r="E80" i="147" s="1"/>
  <c r="E79" s="1"/>
  <c r="E78" s="1"/>
  <c r="F469" i="155"/>
  <c r="E84" i="147" s="1"/>
  <c r="E83" s="1"/>
  <c r="E82" s="1"/>
  <c r="E469" i="155"/>
  <c r="F499"/>
  <c r="E43" i="147" s="1"/>
  <c r="E42" s="1"/>
  <c r="E499" i="155"/>
  <c r="F507"/>
  <c r="F506" s="1"/>
  <c r="E507"/>
  <c r="E506" s="1"/>
  <c r="F523"/>
  <c r="E260" i="147" s="1"/>
  <c r="E259" s="1"/>
  <c r="E258" s="1"/>
  <c r="E523" i="155"/>
  <c r="F637"/>
  <c r="E242" i="147" s="1"/>
  <c r="E241" s="1"/>
  <c r="E240" s="1"/>
  <c r="F693" i="155"/>
  <c r="E183" i="147" s="1"/>
  <c r="E182" s="1"/>
  <c r="E181" s="1"/>
  <c r="E693" i="155"/>
  <c r="G459" i="154"/>
  <c r="G458" s="1"/>
  <c r="F459"/>
  <c r="F458" s="1"/>
  <c r="E637" i="155"/>
  <c r="G327" i="154"/>
  <c r="G326" s="1"/>
  <c r="G325" s="1"/>
  <c r="G324" s="1"/>
  <c r="F327"/>
  <c r="F326" s="1"/>
  <c r="F325" s="1"/>
  <c r="F324" s="1"/>
  <c r="G305"/>
  <c r="G304" s="1"/>
  <c r="F305"/>
  <c r="F304" s="1"/>
  <c r="E465" i="155"/>
  <c r="F698" i="154"/>
  <c r="F696"/>
  <c r="F689"/>
  <c r="F687"/>
  <c r="F685"/>
  <c r="F682"/>
  <c r="F679"/>
  <c r="F677"/>
  <c r="F673"/>
  <c r="F661"/>
  <c r="F648"/>
  <c r="F673" i="155"/>
  <c r="E673"/>
  <c r="D163" i="147" s="1"/>
  <c r="D162" s="1"/>
  <c r="D161" s="1"/>
  <c r="G439" i="154"/>
  <c r="G438" s="1"/>
  <c r="F439"/>
  <c r="F438" s="1"/>
  <c r="F210" i="155"/>
  <c r="E210"/>
  <c r="D356" i="147" s="1"/>
  <c r="D355" s="1"/>
  <c r="D354" s="1"/>
  <c r="G152" i="154"/>
  <c r="G151" s="1"/>
  <c r="F152"/>
  <c r="F151" s="1"/>
  <c r="E453" i="155"/>
  <c r="E452" s="1"/>
  <c r="E451" s="1"/>
  <c r="F453"/>
  <c r="G289" i="154"/>
  <c r="G288" s="1"/>
  <c r="G816"/>
  <c r="G815" s="1"/>
  <c r="F816"/>
  <c r="F815" s="1"/>
  <c r="F385" i="155"/>
  <c r="F384" s="1"/>
  <c r="F383" s="1"/>
  <c r="E385"/>
  <c r="E384" s="1"/>
  <c r="E383" s="1"/>
  <c r="G748" i="154"/>
  <c r="G747" s="1"/>
  <c r="F748"/>
  <c r="F747" s="1"/>
  <c r="F359" i="155"/>
  <c r="E359"/>
  <c r="E358" s="1"/>
  <c r="E357" s="1"/>
  <c r="G722" i="154"/>
  <c r="G721" s="1"/>
  <c r="F722"/>
  <c r="F721" s="1"/>
  <c r="F242" i="155"/>
  <c r="E242"/>
  <c r="D328" i="147" s="1"/>
  <c r="D327" s="1"/>
  <c r="D326" s="1"/>
  <c r="G184" i="154"/>
  <c r="G183" s="1"/>
  <c r="F184"/>
  <c r="F183" s="1"/>
  <c r="G254"/>
  <c r="G253" s="1"/>
  <c r="F254"/>
  <c r="E324" i="155" s="1"/>
  <c r="E323" s="1"/>
  <c r="E322" s="1"/>
  <c r="F687"/>
  <c r="E687"/>
  <c r="D177" i="147" s="1"/>
  <c r="D176" s="1"/>
  <c r="D175" s="1"/>
  <c r="G453" i="154"/>
  <c r="G452" s="1"/>
  <c r="F453"/>
  <c r="F452" s="1"/>
  <c r="F728" i="155"/>
  <c r="E221" i="147" s="1"/>
  <c r="E220" s="1"/>
  <c r="E219" s="1"/>
  <c r="E728" i="155"/>
  <c r="E727" s="1"/>
  <c r="E726" s="1"/>
  <c r="G485" i="154"/>
  <c r="G484" s="1"/>
  <c r="F485"/>
  <c r="F484" s="1"/>
  <c r="F143" i="155"/>
  <c r="E434" i="147" s="1"/>
  <c r="E433" s="1"/>
  <c r="E432" s="1"/>
  <c r="E431" s="1"/>
  <c r="E143" i="155"/>
  <c r="F157"/>
  <c r="E157"/>
  <c r="D463" i="147" s="1"/>
  <c r="D462" s="1"/>
  <c r="D461" s="1"/>
  <c r="G533" i="154"/>
  <c r="G532" s="1"/>
  <c r="G531" s="1"/>
  <c r="G530" s="1"/>
  <c r="F533"/>
  <c r="F532" s="1"/>
  <c r="F531" s="1"/>
  <c r="F530" s="1"/>
  <c r="F672" i="155" l="1"/>
  <c r="F671" s="1"/>
  <c r="E163" i="147"/>
  <c r="E162" s="1"/>
  <c r="E161" s="1"/>
  <c r="F686" i="155"/>
  <c r="F685" s="1"/>
  <c r="E177" i="147"/>
  <c r="E176" s="1"/>
  <c r="E175" s="1"/>
  <c r="E174" s="1"/>
  <c r="F156" i="155"/>
  <c r="F155" s="1"/>
  <c r="E463" i="147"/>
  <c r="E462" s="1"/>
  <c r="E461" s="1"/>
  <c r="E453" s="1"/>
  <c r="F241" i="155"/>
  <c r="F240" s="1"/>
  <c r="E328" i="147"/>
  <c r="E327" s="1"/>
  <c r="E326" s="1"/>
  <c r="F358" i="155"/>
  <c r="F357" s="1"/>
  <c r="E12" i="147"/>
  <c r="E11" s="1"/>
  <c r="E10" s="1"/>
  <c r="E68"/>
  <c r="E67" s="1"/>
  <c r="E66" s="1"/>
  <c r="F452" i="155"/>
  <c r="F451" s="1"/>
  <c r="F209"/>
  <c r="F208" s="1"/>
  <c r="E356" i="147"/>
  <c r="E355" s="1"/>
  <c r="E354" s="1"/>
  <c r="F135" i="155"/>
  <c r="F134" s="1"/>
  <c r="F133" s="1"/>
  <c r="E425" i="147"/>
  <c r="E424" s="1"/>
  <c r="F451" i="154"/>
  <c r="G451"/>
  <c r="E700" i="155"/>
  <c r="F700"/>
  <c r="F324"/>
  <c r="E287" i="147" s="1"/>
  <c r="E286" s="1"/>
  <c r="E285" s="1"/>
  <c r="F253" i="154"/>
  <c r="E672" i="155"/>
  <c r="E671" s="1"/>
  <c r="E209"/>
  <c r="E208" s="1"/>
  <c r="F289" i="154"/>
  <c r="F288" s="1"/>
  <c r="D68" i="147"/>
  <c r="D67" s="1"/>
  <c r="D66" s="1"/>
  <c r="D12"/>
  <c r="D11" s="1"/>
  <c r="D10" s="1"/>
  <c r="E241" i="155"/>
  <c r="E240" s="1"/>
  <c r="D287" i="147"/>
  <c r="D286" s="1"/>
  <c r="D285" s="1"/>
  <c r="E686" i="155"/>
  <c r="E685" s="1"/>
  <c r="D221" i="147"/>
  <c r="D220" s="1"/>
  <c r="D219" s="1"/>
  <c r="F727" i="155"/>
  <c r="F726" s="1"/>
  <c r="E156"/>
  <c r="E155" s="1"/>
  <c r="F323" l="1"/>
  <c r="F322" s="1"/>
  <c r="G569" i="154"/>
  <c r="G568" s="1"/>
  <c r="G567" s="1"/>
  <c r="G566" s="1"/>
  <c r="F569"/>
  <c r="F568" s="1"/>
  <c r="F567" s="1"/>
  <c r="F566" s="1"/>
  <c r="F151" i="155" l="1"/>
  <c r="F150" s="1"/>
  <c r="E150"/>
  <c r="G574" i="154"/>
  <c r="G573" s="1"/>
  <c r="G572" s="1"/>
  <c r="F574"/>
  <c r="F573" s="1"/>
  <c r="F572" s="1"/>
  <c r="D456" i="147" l="1"/>
  <c r="F299" i="155"/>
  <c r="E299"/>
  <c r="E298" s="1"/>
  <c r="E297" s="1"/>
  <c r="E290" s="1"/>
  <c r="G229" i="154"/>
  <c r="G228" s="1"/>
  <c r="F229"/>
  <c r="F228" s="1"/>
  <c r="F298" i="155" l="1"/>
  <c r="F297" s="1"/>
  <c r="F290" s="1"/>
  <c r="E350" i="147"/>
  <c r="E349" s="1"/>
  <c r="E348" s="1"/>
  <c r="E341" s="1"/>
  <c r="E340" s="1"/>
  <c r="G221" i="154"/>
  <c r="G220" s="1"/>
  <c r="G219" s="1"/>
  <c r="G218" s="1"/>
  <c r="H12" i="156"/>
  <c r="D455" i="147"/>
  <c r="D454" s="1"/>
  <c r="F221" i="154"/>
  <c r="F220" s="1"/>
  <c r="F219" s="1"/>
  <c r="F218" s="1"/>
  <c r="D12" i="156"/>
  <c r="D11" s="1"/>
  <c r="E289" i="155"/>
  <c r="E288" s="1"/>
  <c r="E287" s="1"/>
  <c r="C26" i="143" s="1"/>
  <c r="F289" i="155"/>
  <c r="F288" s="1"/>
  <c r="F287" s="1"/>
  <c r="D26" i="143" s="1"/>
  <c r="D350" i="147"/>
  <c r="D349" s="1"/>
  <c r="D348" s="1"/>
  <c r="D341" s="1"/>
  <c r="F248" i="155"/>
  <c r="E334" i="147" s="1"/>
  <c r="E333" s="1"/>
  <c r="E332" s="1"/>
  <c r="E248" i="155"/>
  <c r="E247" s="1"/>
  <c r="E246" s="1"/>
  <c r="G190" i="154"/>
  <c r="G189" s="1"/>
  <c r="F190"/>
  <c r="F189" s="1"/>
  <c r="H11" i="156" l="1"/>
  <c r="K12"/>
  <c r="G12"/>
  <c r="D10"/>
  <c r="D21" s="1"/>
  <c r="G11"/>
  <c r="D340" i="147"/>
  <c r="F247" i="155"/>
  <c r="F246" s="1"/>
  <c r="D334" i="147"/>
  <c r="D333" s="1"/>
  <c r="D332" s="1"/>
  <c r="H10" i="156" l="1"/>
  <c r="K11"/>
  <c r="G10"/>
  <c r="F472" i="155"/>
  <c r="E472"/>
  <c r="D87" i="147" s="1"/>
  <c r="D86" s="1"/>
  <c r="D85" s="1"/>
  <c r="G308" i="154"/>
  <c r="G307" s="1"/>
  <c r="G303" s="1"/>
  <c r="F308"/>
  <c r="F307" s="1"/>
  <c r="F303" s="1"/>
  <c r="F787"/>
  <c r="F372" i="155"/>
  <c r="E53" i="147" s="1"/>
  <c r="E52" s="1"/>
  <c r="E51" s="1"/>
  <c r="E372" i="155"/>
  <c r="G735" i="154"/>
  <c r="G734" s="1"/>
  <c r="G733" s="1"/>
  <c r="F735"/>
  <c r="F734" s="1"/>
  <c r="F733" s="1"/>
  <c r="F795"/>
  <c r="F647" i="155"/>
  <c r="E647"/>
  <c r="E646" s="1"/>
  <c r="E645" s="1"/>
  <c r="G608" i="154"/>
  <c r="G607" s="1"/>
  <c r="F608"/>
  <c r="F607" s="1"/>
  <c r="F603" s="1"/>
  <c r="F594" i="155"/>
  <c r="E594"/>
  <c r="E593" s="1"/>
  <c r="E592" s="1"/>
  <c r="E591" s="1"/>
  <c r="G388" i="154"/>
  <c r="G387" s="1"/>
  <c r="G386" s="1"/>
  <c r="F388"/>
  <c r="F387" s="1"/>
  <c r="F386" s="1"/>
  <c r="F692" i="155"/>
  <c r="F691" s="1"/>
  <c r="F684" s="1"/>
  <c r="E692"/>
  <c r="E691" s="1"/>
  <c r="E684" s="1"/>
  <c r="F268" i="154"/>
  <c r="J17" i="156"/>
  <c r="F619" i="154"/>
  <c r="F17" i="156" s="1"/>
  <c r="F662" i="155"/>
  <c r="E410" i="147" s="1"/>
  <c r="E409" s="1"/>
  <c r="E408" s="1"/>
  <c r="E662" i="155"/>
  <c r="D410" i="147" s="1"/>
  <c r="D409" s="1"/>
  <c r="D408" s="1"/>
  <c r="G615" i="154"/>
  <c r="G614" s="1"/>
  <c r="F615"/>
  <c r="F614" s="1"/>
  <c r="F471" i="155" l="1"/>
  <c r="F470" s="1"/>
  <c r="E87" i="147"/>
  <c r="E86" s="1"/>
  <c r="E85" s="1"/>
  <c r="E81" s="1"/>
  <c r="F593" i="155"/>
  <c r="F592" s="1"/>
  <c r="F591" s="1"/>
  <c r="E150" i="147"/>
  <c r="E149" s="1"/>
  <c r="E148" s="1"/>
  <c r="E147" s="1"/>
  <c r="F646" i="155"/>
  <c r="F645" s="1"/>
  <c r="E416" i="147"/>
  <c r="E415" s="1"/>
  <c r="E414" s="1"/>
  <c r="K10" i="156"/>
  <c r="H21"/>
  <c r="E641" i="155"/>
  <c r="E640" s="1"/>
  <c r="E639" s="1"/>
  <c r="E638" s="1"/>
  <c r="F641"/>
  <c r="F640" s="1"/>
  <c r="F639" s="1"/>
  <c r="F638" s="1"/>
  <c r="G603" i="154"/>
  <c r="G602" s="1"/>
  <c r="G601" s="1"/>
  <c r="G600" s="1"/>
  <c r="J16" i="156"/>
  <c r="K17"/>
  <c r="F16"/>
  <c r="G17"/>
  <c r="D53" i="147"/>
  <c r="D52" s="1"/>
  <c r="D51" s="1"/>
  <c r="F602" i="154"/>
  <c r="F601" s="1"/>
  <c r="F600" s="1"/>
  <c r="E371" i="155"/>
  <c r="E370" s="1"/>
  <c r="E369" s="1"/>
  <c r="E471"/>
  <c r="E470" s="1"/>
  <c r="F371"/>
  <c r="F370" s="1"/>
  <c r="F369" s="1"/>
  <c r="D416" i="147"/>
  <c r="D415" s="1"/>
  <c r="D414" s="1"/>
  <c r="D150"/>
  <c r="D149" s="1"/>
  <c r="D148" s="1"/>
  <c r="D147" s="1"/>
  <c r="D183"/>
  <c r="D182" s="1"/>
  <c r="D181" s="1"/>
  <c r="D174" s="1"/>
  <c r="E661" i="155"/>
  <c r="E660" s="1"/>
  <c r="F661"/>
  <c r="F660" s="1"/>
  <c r="F13" i="156" l="1"/>
  <c r="F21" s="1"/>
  <c r="G16"/>
  <c r="G13" s="1"/>
  <c r="G21" s="1"/>
  <c r="J13"/>
  <c r="J21" s="1"/>
  <c r="K16"/>
  <c r="K13" s="1"/>
  <c r="K21" s="1"/>
  <c r="F415" i="155"/>
  <c r="E60" i="147" s="1"/>
  <c r="E59" s="1"/>
  <c r="E58" s="1"/>
  <c r="E415" i="155"/>
  <c r="D60" i="147" s="1"/>
  <c r="D59" s="1"/>
  <c r="D58" s="1"/>
  <c r="G778" i="154"/>
  <c r="G777" s="1"/>
  <c r="F778"/>
  <c r="F777" s="1"/>
  <c r="F405" i="155"/>
  <c r="E50" i="147" s="1"/>
  <c r="E49" s="1"/>
  <c r="E48" s="1"/>
  <c r="E405" i="155"/>
  <c r="G768" i="154"/>
  <c r="G767" s="1"/>
  <c r="F768"/>
  <c r="F767" s="1"/>
  <c r="E414" i="155" l="1"/>
  <c r="E413" s="1"/>
  <c r="F414"/>
  <c r="F413" s="1"/>
  <c r="F404"/>
  <c r="F403" s="1"/>
  <c r="E404"/>
  <c r="E403" s="1"/>
  <c r="D50" i="147"/>
  <c r="D49" s="1"/>
  <c r="D48" s="1"/>
  <c r="E459" i="155" l="1"/>
  <c r="E464"/>
  <c r="E463" s="1"/>
  <c r="F456"/>
  <c r="E456"/>
  <c r="D71" i="147" s="1"/>
  <c r="D70" s="1"/>
  <c r="D69" s="1"/>
  <c r="G301" i="154"/>
  <c r="G300" s="1"/>
  <c r="F301"/>
  <c r="F300" s="1"/>
  <c r="G292"/>
  <c r="G291" s="1"/>
  <c r="F292"/>
  <c r="F291" s="1"/>
  <c r="G647"/>
  <c r="G646" s="1"/>
  <c r="F647"/>
  <c r="F646" s="1"/>
  <c r="G828"/>
  <c r="G827" s="1"/>
  <c r="F828"/>
  <c r="F827" s="1"/>
  <c r="G819"/>
  <c r="G818" s="1"/>
  <c r="F819"/>
  <c r="F818" s="1"/>
  <c r="F586" i="155"/>
  <c r="E142" i="147" s="1"/>
  <c r="E141" s="1"/>
  <c r="E140" s="1"/>
  <c r="E586" i="155"/>
  <c r="E585" s="1"/>
  <c r="E584" s="1"/>
  <c r="F580"/>
  <c r="E580"/>
  <c r="E579" s="1"/>
  <c r="E578" s="1"/>
  <c r="G380" i="154"/>
  <c r="G379" s="1"/>
  <c r="F380"/>
  <c r="F379" s="1"/>
  <c r="G374"/>
  <c r="G373" s="1"/>
  <c r="F374"/>
  <c r="F373" s="1"/>
  <c r="F568" i="155"/>
  <c r="E124" i="147" s="1"/>
  <c r="E123" s="1"/>
  <c r="E122" s="1"/>
  <c r="E568" i="155"/>
  <c r="E567" s="1"/>
  <c r="E566" s="1"/>
  <c r="F562"/>
  <c r="E118" i="147" s="1"/>
  <c r="E117" s="1"/>
  <c r="E116" s="1"/>
  <c r="E562" i="155"/>
  <c r="E561" s="1"/>
  <c r="E560" s="1"/>
  <c r="G362" i="154"/>
  <c r="G361" s="1"/>
  <c r="F362"/>
  <c r="F361" s="1"/>
  <c r="G356"/>
  <c r="G355" s="1"/>
  <c r="F356"/>
  <c r="F355" s="1"/>
  <c r="F398" i="155"/>
  <c r="E398"/>
  <c r="D34" i="147" s="1"/>
  <c r="D33" s="1"/>
  <c r="D32" s="1"/>
  <c r="G761" i="154"/>
  <c r="G760" s="1"/>
  <c r="F761"/>
  <c r="F760" s="1"/>
  <c r="F497" i="155"/>
  <c r="E497"/>
  <c r="E496" s="1"/>
  <c r="F498"/>
  <c r="D43" i="147"/>
  <c r="D42" s="1"/>
  <c r="F428" i="155"/>
  <c r="E428"/>
  <c r="D97" i="147" s="1"/>
  <c r="D96" s="1"/>
  <c r="D95" s="1"/>
  <c r="G791" i="154"/>
  <c r="G790" s="1"/>
  <c r="F791"/>
  <c r="F790" s="1"/>
  <c r="G841"/>
  <c r="F841"/>
  <c r="G843"/>
  <c r="F843"/>
  <c r="F427" i="155" l="1"/>
  <c r="F426" s="1"/>
  <c r="E97" i="147"/>
  <c r="E96" s="1"/>
  <c r="E95" s="1"/>
  <c r="F397" i="155"/>
  <c r="F396" s="1"/>
  <c r="E34" i="147"/>
  <c r="E33" s="1"/>
  <c r="E32" s="1"/>
  <c r="F455" i="155"/>
  <c r="F454" s="1"/>
  <c r="E71" i="147"/>
  <c r="E70" s="1"/>
  <c r="E69" s="1"/>
  <c r="F496" i="155"/>
  <c r="E41" i="147"/>
  <c r="E40" s="1"/>
  <c r="E39" s="1"/>
  <c r="F579" i="155"/>
  <c r="F578" s="1"/>
  <c r="E136" i="147"/>
  <c r="E135" s="1"/>
  <c r="E134" s="1"/>
  <c r="D124"/>
  <c r="D123" s="1"/>
  <c r="D122" s="1"/>
  <c r="D80"/>
  <c r="D79" s="1"/>
  <c r="D78" s="1"/>
  <c r="E455" i="155"/>
  <c r="E454" s="1"/>
  <c r="F464"/>
  <c r="F463" s="1"/>
  <c r="F585"/>
  <c r="F584" s="1"/>
  <c r="D136" i="147"/>
  <c r="D135" s="1"/>
  <c r="D134" s="1"/>
  <c r="D142"/>
  <c r="D141" s="1"/>
  <c r="D140" s="1"/>
  <c r="D118"/>
  <c r="D117" s="1"/>
  <c r="D116" s="1"/>
  <c r="F561" i="155"/>
  <c r="F560" s="1"/>
  <c r="F567"/>
  <c r="F566" s="1"/>
  <c r="E498"/>
  <c r="E495" s="1"/>
  <c r="E397"/>
  <c r="E396" s="1"/>
  <c r="D41" i="147"/>
  <c r="D40" s="1"/>
  <c r="D39" s="1"/>
  <c r="F495" i="155"/>
  <c r="F840" i="154"/>
  <c r="G840"/>
  <c r="E427" i="155"/>
  <c r="E426" s="1"/>
  <c r="F90" l="1"/>
  <c r="E90"/>
  <c r="E89" s="1"/>
  <c r="E88" s="1"/>
  <c r="E87" s="1"/>
  <c r="E86" s="1"/>
  <c r="E85" s="1"/>
  <c r="E84" s="1"/>
  <c r="C13" i="143" s="1"/>
  <c r="G53" i="154"/>
  <c r="G52" s="1"/>
  <c r="G51" s="1"/>
  <c r="G50" s="1"/>
  <c r="G49" s="1"/>
  <c r="G48" s="1"/>
  <c r="F53"/>
  <c r="F52" s="1"/>
  <c r="F51" s="1"/>
  <c r="F50" s="1"/>
  <c r="F49" s="1"/>
  <c r="F48" s="1"/>
  <c r="F89" i="155" l="1"/>
  <c r="F88" s="1"/>
  <c r="F87" s="1"/>
  <c r="F86" s="1"/>
  <c r="F85" s="1"/>
  <c r="F84" s="1"/>
  <c r="D13" i="143" s="1"/>
  <c r="E247" i="147"/>
  <c r="D247"/>
  <c r="F273" i="155"/>
  <c r="E403" i="147" s="1"/>
  <c r="E402" s="1"/>
  <c r="E401" s="1"/>
  <c r="E273" i="155"/>
  <c r="F286"/>
  <c r="E400" i="147" s="1"/>
  <c r="E399" s="1"/>
  <c r="E398" s="1"/>
  <c r="E286" i="155"/>
  <c r="F665"/>
  <c r="E413" i="147" s="1"/>
  <c r="E412" s="1"/>
  <c r="E411" s="1"/>
  <c r="E404" s="1"/>
  <c r="E665" i="155"/>
  <c r="F418" l="1"/>
  <c r="E418"/>
  <c r="E417" s="1"/>
  <c r="E416" s="1"/>
  <c r="E412" s="1"/>
  <c r="G781" i="154"/>
  <c r="G780" s="1"/>
  <c r="G776" s="1"/>
  <c r="F781"/>
  <c r="F780" s="1"/>
  <c r="F776" s="1"/>
  <c r="F535" i="155"/>
  <c r="E94" i="147" s="1"/>
  <c r="E93" s="1"/>
  <c r="E535" i="155"/>
  <c r="D94" i="147" s="1"/>
  <c r="D93" s="1"/>
  <c r="F417" i="155" l="1"/>
  <c r="F416" s="1"/>
  <c r="F412" s="1"/>
  <c r="E63" i="147"/>
  <c r="E62" s="1"/>
  <c r="E61" s="1"/>
  <c r="E57" s="1"/>
  <c r="D63"/>
  <c r="D62" s="1"/>
  <c r="D61" s="1"/>
  <c r="D57" s="1"/>
  <c r="E534" i="155"/>
  <c r="F534"/>
  <c r="F855" i="154" l="1"/>
  <c r="F431" i="155"/>
  <c r="E100" i="147" s="1"/>
  <c r="E99" s="1"/>
  <c r="E98" s="1"/>
  <c r="E431" i="155"/>
  <c r="F423"/>
  <c r="E423"/>
  <c r="F118"/>
  <c r="F13"/>
  <c r="E470" i="147" s="1"/>
  <c r="E469" s="1"/>
  <c r="E468" s="1"/>
  <c r="E13" i="155"/>
  <c r="F615"/>
  <c r="E237" i="147" s="1"/>
  <c r="E236" s="1"/>
  <c r="E615" i="155"/>
  <c r="F617"/>
  <c r="E239" i="147" s="1"/>
  <c r="E238" s="1"/>
  <c r="E617" i="155"/>
  <c r="E235" i="147" l="1"/>
  <c r="F316" i="155"/>
  <c r="D466" i="147"/>
  <c r="D465" s="1"/>
  <c r="D464" s="1"/>
  <c r="D460"/>
  <c r="D459" s="1"/>
  <c r="D458" s="1"/>
  <c r="D448"/>
  <c r="D447" s="1"/>
  <c r="D446" s="1"/>
  <c r="D445" s="1"/>
  <c r="D381"/>
  <c r="D380" s="1"/>
  <c r="D379" s="1"/>
  <c r="D378" s="1"/>
  <c r="D385"/>
  <c r="D384" s="1"/>
  <c r="D383" s="1"/>
  <c r="D382" s="1"/>
  <c r="D389"/>
  <c r="D388" s="1"/>
  <c r="D387" s="1"/>
  <c r="D386" s="1"/>
  <c r="D366"/>
  <c r="D365" s="1"/>
  <c r="D364" s="1"/>
  <c r="D363" s="1"/>
  <c r="E184" i="155"/>
  <c r="E183" s="1"/>
  <c r="F180"/>
  <c r="F179" s="1"/>
  <c r="E180"/>
  <c r="E179" s="1"/>
  <c r="F178"/>
  <c r="E178"/>
  <c r="E177" s="1"/>
  <c r="F164"/>
  <c r="E499" i="147" s="1"/>
  <c r="E498" s="1"/>
  <c r="E164" i="155"/>
  <c r="E163" s="1"/>
  <c r="F162"/>
  <c r="E497" i="147" s="1"/>
  <c r="E496" s="1"/>
  <c r="E162" i="155"/>
  <c r="E161" s="1"/>
  <c r="F175"/>
  <c r="F174" s="1"/>
  <c r="F173" s="1"/>
  <c r="E175"/>
  <c r="E174" s="1"/>
  <c r="E173" s="1"/>
  <c r="F172"/>
  <c r="F171" s="1"/>
  <c r="E172"/>
  <c r="E171" s="1"/>
  <c r="F170"/>
  <c r="F169" s="1"/>
  <c r="E170"/>
  <c r="E169" s="1"/>
  <c r="F148"/>
  <c r="E148"/>
  <c r="E147" s="1"/>
  <c r="E146" s="1"/>
  <c r="E145" s="1"/>
  <c r="E144" s="1"/>
  <c r="F142"/>
  <c r="F141" s="1"/>
  <c r="F140" s="1"/>
  <c r="F132" s="1"/>
  <c r="E142"/>
  <c r="E141" s="1"/>
  <c r="E140" s="1"/>
  <c r="E138"/>
  <c r="E137" s="1"/>
  <c r="E135"/>
  <c r="E134" s="1"/>
  <c r="E118"/>
  <c r="E117" s="1"/>
  <c r="E116" s="1"/>
  <c r="E115" s="1"/>
  <c r="E114" s="1"/>
  <c r="E113" s="1"/>
  <c r="F112"/>
  <c r="E112"/>
  <c r="E111" s="1"/>
  <c r="E110" s="1"/>
  <c r="F109"/>
  <c r="E109"/>
  <c r="E108" s="1"/>
  <c r="E107" s="1"/>
  <c r="F105"/>
  <c r="E105"/>
  <c r="E104" s="1"/>
  <c r="F103"/>
  <c r="E103"/>
  <c r="E102" s="1"/>
  <c r="F96"/>
  <c r="F95" s="1"/>
  <c r="F94" s="1"/>
  <c r="F93" s="1"/>
  <c r="F92" s="1"/>
  <c r="F91" s="1"/>
  <c r="D14" i="143" s="1"/>
  <c r="E96" i="155"/>
  <c r="E95" s="1"/>
  <c r="E94" s="1"/>
  <c r="E93" s="1"/>
  <c r="E92" s="1"/>
  <c r="E91" s="1"/>
  <c r="C14" i="143" s="1"/>
  <c r="F83" i="155"/>
  <c r="F82" s="1"/>
  <c r="E83"/>
  <c r="E82" s="1"/>
  <c r="F79"/>
  <c r="F78" s="1"/>
  <c r="E79"/>
  <c r="E78" s="1"/>
  <c r="F77"/>
  <c r="F76" s="1"/>
  <c r="E77"/>
  <c r="E76" s="1"/>
  <c r="F64"/>
  <c r="F63" s="1"/>
  <c r="F62" s="1"/>
  <c r="F61" s="1"/>
  <c r="F60" s="1"/>
  <c r="F59" s="1"/>
  <c r="D11" i="143" s="1"/>
  <c r="E64" i="155"/>
  <c r="E63" s="1"/>
  <c r="E62" s="1"/>
  <c r="E61" s="1"/>
  <c r="E60" s="1"/>
  <c r="E59" s="1"/>
  <c r="C11" i="143" s="1"/>
  <c r="F43" i="155"/>
  <c r="E494" i="147" s="1"/>
  <c r="E493" s="1"/>
  <c r="E43" i="155"/>
  <c r="F41"/>
  <c r="E492" i="147" s="1"/>
  <c r="E491" s="1"/>
  <c r="E490" s="1"/>
  <c r="E41" i="155"/>
  <c r="F58"/>
  <c r="F57" s="1"/>
  <c r="F56" s="1"/>
  <c r="E58"/>
  <c r="E57" s="1"/>
  <c r="E56" s="1"/>
  <c r="F55"/>
  <c r="E55"/>
  <c r="E54" s="1"/>
  <c r="F51"/>
  <c r="E51"/>
  <c r="E50" s="1"/>
  <c r="F49"/>
  <c r="F48" s="1"/>
  <c r="E49"/>
  <c r="E48" s="1"/>
  <c r="F31"/>
  <c r="E31"/>
  <c r="E30" s="1"/>
  <c r="F29"/>
  <c r="E29"/>
  <c r="E28" s="1"/>
  <c r="F26"/>
  <c r="E26"/>
  <c r="E25" s="1"/>
  <c r="E24" s="1"/>
  <c r="F198"/>
  <c r="E517" i="147" s="1"/>
  <c r="E516" s="1"/>
  <c r="E515" s="1"/>
  <c r="E198" i="155"/>
  <c r="F201"/>
  <c r="E201"/>
  <c r="E200" s="1"/>
  <c r="F203"/>
  <c r="E203"/>
  <c r="E202" s="1"/>
  <c r="F213"/>
  <c r="E213"/>
  <c r="E212" s="1"/>
  <c r="E211" s="1"/>
  <c r="E207" s="1"/>
  <c r="F224"/>
  <c r="E224"/>
  <c r="E223" s="1"/>
  <c r="E222" s="1"/>
  <c r="E221" s="1"/>
  <c r="E220" s="1"/>
  <c r="E219" s="1"/>
  <c r="E218" s="1"/>
  <c r="C20" i="143" s="1"/>
  <c r="F231" i="155"/>
  <c r="E314" i="147" s="1"/>
  <c r="E313" s="1"/>
  <c r="E312" s="1"/>
  <c r="E311" s="1"/>
  <c r="E231" i="155"/>
  <c r="E230" s="1"/>
  <c r="E229" s="1"/>
  <c r="E228" s="1"/>
  <c r="E227" s="1"/>
  <c r="E226" s="1"/>
  <c r="E225" s="1"/>
  <c r="C21" i="143" s="1"/>
  <c r="F238" i="155"/>
  <c r="E238"/>
  <c r="E237" s="1"/>
  <c r="E236" s="1"/>
  <c r="E235" s="1"/>
  <c r="F245"/>
  <c r="E245"/>
  <c r="E244" s="1"/>
  <c r="E243" s="1"/>
  <c r="E239" s="1"/>
  <c r="F253"/>
  <c r="E253"/>
  <c r="E252" s="1"/>
  <c r="E251" s="1"/>
  <c r="E250" s="1"/>
  <c r="E249" s="1"/>
  <c r="F260"/>
  <c r="F259" s="1"/>
  <c r="F258" s="1"/>
  <c r="F257" s="1"/>
  <c r="E260"/>
  <c r="E259" s="1"/>
  <c r="E258" s="1"/>
  <c r="E257" s="1"/>
  <c r="F264"/>
  <c r="F263" s="1"/>
  <c r="F262" s="1"/>
  <c r="F261" s="1"/>
  <c r="E264"/>
  <c r="E263" s="1"/>
  <c r="E262" s="1"/>
  <c r="E261" s="1"/>
  <c r="F268"/>
  <c r="F267" s="1"/>
  <c r="F266" s="1"/>
  <c r="F265" s="1"/>
  <c r="E268"/>
  <c r="E267" s="1"/>
  <c r="E266" s="1"/>
  <c r="E265" s="1"/>
  <c r="F272"/>
  <c r="F271" s="1"/>
  <c r="F270" s="1"/>
  <c r="F269" s="1"/>
  <c r="E272"/>
  <c r="E271" s="1"/>
  <c r="E270" s="1"/>
  <c r="E269" s="1"/>
  <c r="F278"/>
  <c r="E278"/>
  <c r="E277" s="1"/>
  <c r="E276" s="1"/>
  <c r="E275" s="1"/>
  <c r="E274" s="1"/>
  <c r="F285"/>
  <c r="F284" s="1"/>
  <c r="F283" s="1"/>
  <c r="F282" s="1"/>
  <c r="F281" s="1"/>
  <c r="F280" s="1"/>
  <c r="D25" i="143" s="1"/>
  <c r="E285" i="155"/>
  <c r="E284" s="1"/>
  <c r="E283" s="1"/>
  <c r="E282" s="1"/>
  <c r="E281" s="1"/>
  <c r="E280" s="1"/>
  <c r="F309"/>
  <c r="E309"/>
  <c r="E308" s="1"/>
  <c r="E307" s="1"/>
  <c r="E303" s="1"/>
  <c r="E316"/>
  <c r="E315" s="1"/>
  <c r="E314" s="1"/>
  <c r="E310" s="1"/>
  <c r="F330"/>
  <c r="E293" i="147" s="1"/>
  <c r="E292" s="1"/>
  <c r="E291" s="1"/>
  <c r="E284" s="1"/>
  <c r="E330" i="155"/>
  <c r="E329" s="1"/>
  <c r="E328" s="1"/>
  <c r="E321" s="1"/>
  <c r="F334"/>
  <c r="E334"/>
  <c r="E333" s="1"/>
  <c r="E332" s="1"/>
  <c r="F337"/>
  <c r="E300" i="147" s="1"/>
  <c r="E299" s="1"/>
  <c r="E298" s="1"/>
  <c r="E337" i="155"/>
  <c r="E336" s="1"/>
  <c r="E335" s="1"/>
  <c r="F340"/>
  <c r="E303" i="147" s="1"/>
  <c r="E302" s="1"/>
  <c r="E301" s="1"/>
  <c r="E340" i="155"/>
  <c r="E339" s="1"/>
  <c r="E338" s="1"/>
  <c r="F343"/>
  <c r="E306" i="147" s="1"/>
  <c r="E305" s="1"/>
  <c r="E304" s="1"/>
  <c r="E343" i="155"/>
  <c r="E342" s="1"/>
  <c r="E341" s="1"/>
  <c r="F351"/>
  <c r="E351"/>
  <c r="D318" i="147" s="1"/>
  <c r="D317" s="1"/>
  <c r="D316" s="1"/>
  <c r="D315" s="1"/>
  <c r="F502" i="155"/>
  <c r="E502"/>
  <c r="D46" i="147" s="1"/>
  <c r="D45" s="1"/>
  <c r="D44" s="1"/>
  <c r="D38" s="1"/>
  <c r="E505" i="155"/>
  <c r="E504" s="1"/>
  <c r="F511"/>
  <c r="E511"/>
  <c r="E510" s="1"/>
  <c r="E509" s="1"/>
  <c r="E508" s="1"/>
  <c r="F517"/>
  <c r="E517"/>
  <c r="E516" s="1"/>
  <c r="E515" s="1"/>
  <c r="F519"/>
  <c r="F518" s="1"/>
  <c r="E519"/>
  <c r="E518" s="1"/>
  <c r="F522"/>
  <c r="F521" s="1"/>
  <c r="E522"/>
  <c r="E521" s="1"/>
  <c r="F526"/>
  <c r="E526"/>
  <c r="D263" i="147" s="1"/>
  <c r="D262" s="1"/>
  <c r="D261" s="1"/>
  <c r="F468" i="155"/>
  <c r="F467" s="1"/>
  <c r="F466" s="1"/>
  <c r="E468"/>
  <c r="E467" s="1"/>
  <c r="E466" s="1"/>
  <c r="F408"/>
  <c r="E408"/>
  <c r="D56" i="147" s="1"/>
  <c r="F401" i="155"/>
  <c r="E401"/>
  <c r="E400" s="1"/>
  <c r="E399" s="1"/>
  <c r="E395" s="1"/>
  <c r="F388"/>
  <c r="E388"/>
  <c r="E387" s="1"/>
  <c r="E386" s="1"/>
  <c r="F391"/>
  <c r="F390" s="1"/>
  <c r="F389" s="1"/>
  <c r="E391"/>
  <c r="E390" s="1"/>
  <c r="E389" s="1"/>
  <c r="F362"/>
  <c r="E362"/>
  <c r="E361" s="1"/>
  <c r="E360" s="1"/>
  <c r="F365"/>
  <c r="E365"/>
  <c r="E364" s="1"/>
  <c r="E363" s="1"/>
  <c r="E489"/>
  <c r="E488" s="1"/>
  <c r="E487" s="1"/>
  <c r="E486" s="1"/>
  <c r="E485" s="1"/>
  <c r="E484" s="1"/>
  <c r="C32" i="143" s="1"/>
  <c r="F533" i="155"/>
  <c r="E533"/>
  <c r="E532" s="1"/>
  <c r="F539"/>
  <c r="E104" i="147" s="1"/>
  <c r="E103" s="1"/>
  <c r="E102" s="1"/>
  <c r="E101" s="1"/>
  <c r="E539" i="155"/>
  <c r="F545"/>
  <c r="F544" s="1"/>
  <c r="E545"/>
  <c r="E544" s="1"/>
  <c r="F550"/>
  <c r="F549" s="1"/>
  <c r="E550"/>
  <c r="E549" s="1"/>
  <c r="F552"/>
  <c r="E552"/>
  <c r="E551" s="1"/>
  <c r="F554"/>
  <c r="F553" s="1"/>
  <c r="E554"/>
  <c r="E553" s="1"/>
  <c r="F565"/>
  <c r="E565"/>
  <c r="E564" s="1"/>
  <c r="E563" s="1"/>
  <c r="E559" s="1"/>
  <c r="F598"/>
  <c r="E598"/>
  <c r="E597" s="1"/>
  <c r="E596" s="1"/>
  <c r="E595" s="1"/>
  <c r="F602"/>
  <c r="E602"/>
  <c r="E601" s="1"/>
  <c r="E600" s="1"/>
  <c r="E599" s="1"/>
  <c r="F624"/>
  <c r="E624"/>
  <c r="E623" s="1"/>
  <c r="E622" s="1"/>
  <c r="E621" s="1"/>
  <c r="F628"/>
  <c r="E628"/>
  <c r="E627" s="1"/>
  <c r="F630"/>
  <c r="E630"/>
  <c r="E629" s="1"/>
  <c r="F634"/>
  <c r="E634"/>
  <c r="E633" s="1"/>
  <c r="E632" s="1"/>
  <c r="F636"/>
  <c r="F635" s="1"/>
  <c r="E636"/>
  <c r="E635" s="1"/>
  <c r="F654"/>
  <c r="E654"/>
  <c r="E653" s="1"/>
  <c r="F656"/>
  <c r="E656"/>
  <c r="E655" s="1"/>
  <c r="F676"/>
  <c r="E676"/>
  <c r="E675" s="1"/>
  <c r="E674" s="1"/>
  <c r="E670" s="1"/>
  <c r="F683"/>
  <c r="E683"/>
  <c r="E682" s="1"/>
  <c r="E681" s="1"/>
  <c r="E680" s="1"/>
  <c r="F697"/>
  <c r="E697"/>
  <c r="E696" s="1"/>
  <c r="F699"/>
  <c r="E699"/>
  <c r="E698" s="1"/>
  <c r="F704"/>
  <c r="E704"/>
  <c r="D194" i="147" s="1"/>
  <c r="D193" s="1"/>
  <c r="D192" s="1"/>
  <c r="F707" i="155"/>
  <c r="E707"/>
  <c r="D197" i="147" s="1"/>
  <c r="D196" s="1"/>
  <c r="F709" i="155"/>
  <c r="E709"/>
  <c r="E708" s="1"/>
  <c r="F711"/>
  <c r="E711"/>
  <c r="E710" s="1"/>
  <c r="F718"/>
  <c r="E718"/>
  <c r="E717" s="1"/>
  <c r="F720"/>
  <c r="F719" s="1"/>
  <c r="E720"/>
  <c r="E719" s="1"/>
  <c r="F731"/>
  <c r="E731"/>
  <c r="E730" s="1"/>
  <c r="E729" s="1"/>
  <c r="F734"/>
  <c r="E734"/>
  <c r="E733" s="1"/>
  <c r="E732" s="1"/>
  <c r="F737"/>
  <c r="E737"/>
  <c r="E736" s="1"/>
  <c r="E735" s="1"/>
  <c r="F744"/>
  <c r="F743" s="1"/>
  <c r="F742" s="1"/>
  <c r="F741" s="1"/>
  <c r="F740" s="1"/>
  <c r="F739" s="1"/>
  <c r="F738" s="1"/>
  <c r="D47" i="143" s="1"/>
  <c r="E744" i="155"/>
  <c r="E743" s="1"/>
  <c r="E742" s="1"/>
  <c r="E741" s="1"/>
  <c r="E740" s="1"/>
  <c r="E739" s="1"/>
  <c r="E738" s="1"/>
  <c r="C47" i="143" s="1"/>
  <c r="F616" i="155"/>
  <c r="E616"/>
  <c r="F614"/>
  <c r="E614"/>
  <c r="F430"/>
  <c r="F429" s="1"/>
  <c r="E430"/>
  <c r="E429" s="1"/>
  <c r="E425" s="1"/>
  <c r="F422"/>
  <c r="F421" s="1"/>
  <c r="F420" s="1"/>
  <c r="F419" s="1"/>
  <c r="E422"/>
  <c r="E421" s="1"/>
  <c r="E420" s="1"/>
  <c r="E419" s="1"/>
  <c r="D394" i="147"/>
  <c r="D393" s="1"/>
  <c r="D392" s="1"/>
  <c r="F117" i="155"/>
  <c r="F116" s="1"/>
  <c r="F115" s="1"/>
  <c r="F114" s="1"/>
  <c r="F113" s="1"/>
  <c r="F12"/>
  <c r="F11" s="1"/>
  <c r="F10" s="1"/>
  <c r="F9" s="1"/>
  <c r="F8" s="1"/>
  <c r="D8" i="143" s="1"/>
  <c r="E12" i="155"/>
  <c r="E11" s="1"/>
  <c r="E10" s="1"/>
  <c r="E9" s="1"/>
  <c r="E8" s="1"/>
  <c r="G477" i="154"/>
  <c r="F477"/>
  <c r="G475"/>
  <c r="F475"/>
  <c r="G473"/>
  <c r="F473"/>
  <c r="G470"/>
  <c r="G469" s="1"/>
  <c r="F470"/>
  <c r="F469" s="1"/>
  <c r="G467"/>
  <c r="F467"/>
  <c r="G465"/>
  <c r="F465"/>
  <c r="G463"/>
  <c r="F463"/>
  <c r="G449"/>
  <c r="G448" s="1"/>
  <c r="G447" s="1"/>
  <c r="F449"/>
  <c r="F448" s="1"/>
  <c r="F447" s="1"/>
  <c r="G442"/>
  <c r="G441" s="1"/>
  <c r="G437" s="1"/>
  <c r="F442"/>
  <c r="F441" s="1"/>
  <c r="F437" s="1"/>
  <c r="G431"/>
  <c r="G430" s="1"/>
  <c r="F431"/>
  <c r="F430" s="1"/>
  <c r="G348"/>
  <c r="G347" s="1"/>
  <c r="F348"/>
  <c r="F347" s="1"/>
  <c r="G345"/>
  <c r="G344" s="1"/>
  <c r="F345"/>
  <c r="F344" s="1"/>
  <c r="G332"/>
  <c r="G331" s="1"/>
  <c r="G330" s="1"/>
  <c r="F332"/>
  <c r="F331" s="1"/>
  <c r="F330" s="1"/>
  <c r="F459" i="155"/>
  <c r="E74" i="147" s="1"/>
  <c r="E73" s="1"/>
  <c r="E72" s="1"/>
  <c r="E65" s="1"/>
  <c r="E64" s="1"/>
  <c r="F387" i="155" l="1"/>
  <c r="F386" s="1"/>
  <c r="E18" i="147"/>
  <c r="E17" s="1"/>
  <c r="E16" s="1"/>
  <c r="F525" i="155"/>
  <c r="F524" s="1"/>
  <c r="I6" i="161" s="1"/>
  <c r="E263" i="147"/>
  <c r="E262" s="1"/>
  <c r="E261" s="1"/>
  <c r="F510" i="155"/>
  <c r="F509" s="1"/>
  <c r="F508" s="1"/>
  <c r="E112" i="147"/>
  <c r="E111" s="1"/>
  <c r="E110" s="1"/>
  <c r="E109" s="1"/>
  <c r="F252" i="155"/>
  <c r="F251" s="1"/>
  <c r="F250" s="1"/>
  <c r="F249" s="1"/>
  <c r="E339" i="147"/>
  <c r="E338" s="1"/>
  <c r="E337" s="1"/>
  <c r="E336" s="1"/>
  <c r="E335" s="1"/>
  <c r="F28" i="155"/>
  <c r="E483" i="147"/>
  <c r="E482" s="1"/>
  <c r="F54" i="155"/>
  <c r="F47" s="1"/>
  <c r="E514" i="147"/>
  <c r="E513" s="1"/>
  <c r="F111" i="155"/>
  <c r="F110" s="1"/>
  <c r="E250" i="147"/>
  <c r="E249" s="1"/>
  <c r="E248" s="1"/>
  <c r="F706" i="155"/>
  <c r="F705" s="1"/>
  <c r="E197" i="147"/>
  <c r="E196" s="1"/>
  <c r="F682" i="155"/>
  <c r="F681" s="1"/>
  <c r="F680" s="1"/>
  <c r="E173" i="147"/>
  <c r="E172" s="1"/>
  <c r="E171" s="1"/>
  <c r="E170" s="1"/>
  <c r="F655" i="155"/>
  <c r="E30" i="147"/>
  <c r="E29" s="1"/>
  <c r="F623" i="155"/>
  <c r="F622" s="1"/>
  <c r="F621" s="1"/>
  <c r="E206" i="147"/>
  <c r="E205" s="1"/>
  <c r="E204" s="1"/>
  <c r="E203" s="1"/>
  <c r="F333" i="155"/>
  <c r="F332" s="1"/>
  <c r="E297" i="147"/>
  <c r="E296" s="1"/>
  <c r="E295" s="1"/>
  <c r="E294" s="1"/>
  <c r="F364" i="155"/>
  <c r="F363" s="1"/>
  <c r="E21" i="147"/>
  <c r="E20" s="1"/>
  <c r="E19" s="1"/>
  <c r="F400" i="155"/>
  <c r="F399" s="1"/>
  <c r="F395" s="1"/>
  <c r="E37" i="147"/>
  <c r="E36" s="1"/>
  <c r="E35" s="1"/>
  <c r="E31" s="1"/>
  <c r="F516" i="155"/>
  <c r="F515" s="1"/>
  <c r="E254" i="147"/>
  <c r="E253" s="1"/>
  <c r="E252" s="1"/>
  <c r="F308" i="155"/>
  <c r="F307" s="1"/>
  <c r="F303" s="1"/>
  <c r="F302" s="1"/>
  <c r="E272" i="147"/>
  <c r="E271" s="1"/>
  <c r="E270" s="1"/>
  <c r="E266" s="1"/>
  <c r="F277" i="155"/>
  <c r="F276" s="1"/>
  <c r="F275" s="1"/>
  <c r="F274" s="1"/>
  <c r="E427" i="147"/>
  <c r="E426" s="1"/>
  <c r="E423" s="1"/>
  <c r="E422" s="1"/>
  <c r="E421" s="1"/>
  <c r="F244" i="155"/>
  <c r="F243" s="1"/>
  <c r="F239" s="1"/>
  <c r="E331" i="147"/>
  <c r="E330" s="1"/>
  <c r="E329" s="1"/>
  <c r="E325" s="1"/>
  <c r="F212" i="155"/>
  <c r="F211" s="1"/>
  <c r="F207" s="1"/>
  <c r="E359" i="147"/>
  <c r="E358" s="1"/>
  <c r="E357" s="1"/>
  <c r="E353" s="1"/>
  <c r="E352" s="1"/>
  <c r="F200" i="155"/>
  <c r="F199" s="1"/>
  <c r="E520" i="147"/>
  <c r="E519" s="1"/>
  <c r="E518" s="1"/>
  <c r="F25" i="155"/>
  <c r="F24" s="1"/>
  <c r="E480" i="147"/>
  <c r="E479" s="1"/>
  <c r="E478" s="1"/>
  <c r="F30" i="155"/>
  <c r="E485" i="147"/>
  <c r="E484" s="1"/>
  <c r="F50" i="155"/>
  <c r="E510" i="147"/>
  <c r="E509" s="1"/>
  <c r="F102" i="155"/>
  <c r="F101" s="1"/>
  <c r="F100" s="1"/>
  <c r="F99" s="1"/>
  <c r="F98" s="1"/>
  <c r="E210" i="147"/>
  <c r="E209" s="1"/>
  <c r="F108" i="155"/>
  <c r="F107" s="1"/>
  <c r="E246" i="147"/>
  <c r="E245" s="1"/>
  <c r="E244" s="1"/>
  <c r="E243" s="1"/>
  <c r="F315" i="155"/>
  <c r="F314" s="1"/>
  <c r="F310" s="1"/>
  <c r="E279" i="147"/>
  <c r="E278" s="1"/>
  <c r="E277" s="1"/>
  <c r="E273" s="1"/>
  <c r="F361" i="155"/>
  <c r="F360" s="1"/>
  <c r="E15" i="147"/>
  <c r="E14" s="1"/>
  <c r="E13" s="1"/>
  <c r="F407" i="155"/>
  <c r="F406" s="1"/>
  <c r="F402" s="1"/>
  <c r="E56" i="147"/>
  <c r="E55" s="1"/>
  <c r="E54" s="1"/>
  <c r="E47" s="1"/>
  <c r="F237" i="155"/>
  <c r="F236" s="1"/>
  <c r="F235" s="1"/>
  <c r="E324" i="147"/>
  <c r="E323" s="1"/>
  <c r="E322" s="1"/>
  <c r="E321" s="1"/>
  <c r="F223" i="155"/>
  <c r="F222" s="1"/>
  <c r="F221" s="1"/>
  <c r="F220" s="1"/>
  <c r="F219" s="1"/>
  <c r="F218" s="1"/>
  <c r="D20" i="143" s="1"/>
  <c r="E108" i="147"/>
  <c r="E107" s="1"/>
  <c r="E106" s="1"/>
  <c r="E105" s="1"/>
  <c r="F202" i="155"/>
  <c r="E522" i="147"/>
  <c r="E521" s="1"/>
  <c r="F104" i="155"/>
  <c r="E212" i="147"/>
  <c r="E211" s="1"/>
  <c r="F733" i="155"/>
  <c r="F732" s="1"/>
  <c r="E227" i="147"/>
  <c r="E226" s="1"/>
  <c r="E225" s="1"/>
  <c r="F710" i="155"/>
  <c r="E201" i="147"/>
  <c r="E200" s="1"/>
  <c r="F698" i="155"/>
  <c r="E189" i="147"/>
  <c r="E188" s="1"/>
  <c r="F629" i="155"/>
  <c r="E217" i="147"/>
  <c r="E216" s="1"/>
  <c r="F597" i="155"/>
  <c r="F596" s="1"/>
  <c r="F595" s="1"/>
  <c r="E154" i="147"/>
  <c r="E153" s="1"/>
  <c r="E152" s="1"/>
  <c r="E151" s="1"/>
  <c r="F350" i="155"/>
  <c r="F349" s="1"/>
  <c r="F348" s="1"/>
  <c r="F347" s="1"/>
  <c r="E318" i="147"/>
  <c r="E317" s="1"/>
  <c r="E316" s="1"/>
  <c r="E315" s="1"/>
  <c r="E310" s="1"/>
  <c r="F736" i="155"/>
  <c r="F735" s="1"/>
  <c r="E230" i="147"/>
  <c r="E229" s="1"/>
  <c r="E228" s="1"/>
  <c r="F730" i="155"/>
  <c r="F729" s="1"/>
  <c r="F725" s="1"/>
  <c r="F724" s="1"/>
  <c r="F723" s="1"/>
  <c r="F722" s="1"/>
  <c r="D45" i="143" s="1"/>
  <c r="E224" i="147"/>
  <c r="E223" s="1"/>
  <c r="E222" s="1"/>
  <c r="F717" i="155"/>
  <c r="E508" i="147"/>
  <c r="E507" s="1"/>
  <c r="F708" i="155"/>
  <c r="E199" i="147"/>
  <c r="E198" s="1"/>
  <c r="F703" i="155"/>
  <c r="F702" s="1"/>
  <c r="E194" i="147"/>
  <c r="E193" s="1"/>
  <c r="E192" s="1"/>
  <c r="F696" i="155"/>
  <c r="F695" s="1"/>
  <c r="E187" i="147"/>
  <c r="E186" s="1"/>
  <c r="F675" i="155"/>
  <c r="F674" s="1"/>
  <c r="F670" s="1"/>
  <c r="E166" i="147"/>
  <c r="E165" s="1"/>
  <c r="E164" s="1"/>
  <c r="E160" s="1"/>
  <c r="F653" i="155"/>
  <c r="E28" i="147"/>
  <c r="E27" s="1"/>
  <c r="F633" i="155"/>
  <c r="F632" s="1"/>
  <c r="E234" i="147"/>
  <c r="E233" s="1"/>
  <c r="E232" s="1"/>
  <c r="E231" s="1"/>
  <c r="F627" i="155"/>
  <c r="F626" s="1"/>
  <c r="E215" i="147"/>
  <c r="E214" s="1"/>
  <c r="F601" i="155"/>
  <c r="F600" s="1"/>
  <c r="F599" s="1"/>
  <c r="E158" i="147"/>
  <c r="E157" s="1"/>
  <c r="E156" s="1"/>
  <c r="E155" s="1"/>
  <c r="F564" i="155"/>
  <c r="F563" s="1"/>
  <c r="F559" s="1"/>
  <c r="F558" s="1"/>
  <c r="E121" i="147"/>
  <c r="E120" s="1"/>
  <c r="E119" s="1"/>
  <c r="E115" s="1"/>
  <c r="E114" s="1"/>
  <c r="F551" i="155"/>
  <c r="E527" i="147"/>
  <c r="E526" s="1"/>
  <c r="F532" i="155"/>
  <c r="F531" s="1"/>
  <c r="F530" s="1"/>
  <c r="E92" i="147"/>
  <c r="E91" s="1"/>
  <c r="E90" s="1"/>
  <c r="E89" s="1"/>
  <c r="F501" i="155"/>
  <c r="F500" s="1"/>
  <c r="E46" i="147"/>
  <c r="E45" s="1"/>
  <c r="E44" s="1"/>
  <c r="E38" s="1"/>
  <c r="E283"/>
  <c r="E27" i="155"/>
  <c r="E17" s="1"/>
  <c r="F147"/>
  <c r="F146" s="1"/>
  <c r="F145" s="1"/>
  <c r="F144" s="1"/>
  <c r="E443" i="147"/>
  <c r="E442" s="1"/>
  <c r="E441" s="1"/>
  <c r="E440" s="1"/>
  <c r="E435" s="1"/>
  <c r="E495"/>
  <c r="E525"/>
  <c r="E524" s="1"/>
  <c r="E331" i="155"/>
  <c r="F543"/>
  <c r="F542" s="1"/>
  <c r="E543"/>
  <c r="E542" s="1"/>
  <c r="F75"/>
  <c r="F68" s="1"/>
  <c r="E75"/>
  <c r="E68" s="1"/>
  <c r="E176"/>
  <c r="E47"/>
  <c r="E407"/>
  <c r="E406" s="1"/>
  <c r="E402" s="1"/>
  <c r="D55" i="147"/>
  <c r="D54" s="1"/>
  <c r="D47" s="1"/>
  <c r="E356" i="155"/>
  <c r="F382"/>
  <c r="E695"/>
  <c r="F356"/>
  <c r="E382"/>
  <c r="F462" i="154"/>
  <c r="E206" i="155"/>
  <c r="E205" s="1"/>
  <c r="E204" s="1"/>
  <c r="C18" i="143" s="1"/>
  <c r="F206" i="155"/>
  <c r="F205" s="1"/>
  <c r="F204" s="1"/>
  <c r="D18" i="143" s="1"/>
  <c r="E725" i="155"/>
  <c r="E724" s="1"/>
  <c r="E723" s="1"/>
  <c r="E722" s="1"/>
  <c r="D453" i="147"/>
  <c r="C25" i="143"/>
  <c r="E424" i="155"/>
  <c r="F425"/>
  <c r="F424" s="1"/>
  <c r="F494"/>
  <c r="F493" s="1"/>
  <c r="C8" i="143"/>
  <c r="F197" i="155"/>
  <c r="F196" s="1"/>
  <c r="E40"/>
  <c r="D492" i="147"/>
  <c r="D491" s="1"/>
  <c r="E197" i="155"/>
  <c r="E196" s="1"/>
  <c r="D517" i="147"/>
  <c r="D516" s="1"/>
  <c r="D515" s="1"/>
  <c r="F42" i="155"/>
  <c r="E42"/>
  <c r="D494" i="147"/>
  <c r="D493" s="1"/>
  <c r="F329" i="155"/>
  <c r="F328" s="1"/>
  <c r="F321" s="1"/>
  <c r="E525"/>
  <c r="E524" s="1"/>
  <c r="H6" i="161" s="1"/>
  <c r="F163" i="155"/>
  <c r="G462" i="154"/>
  <c r="E531" i="155"/>
  <c r="E530" s="1"/>
  <c r="F489"/>
  <c r="F488" s="1"/>
  <c r="F487" s="1"/>
  <c r="F486" s="1"/>
  <c r="F485" s="1"/>
  <c r="F484" s="1"/>
  <c r="D32" i="143" s="1"/>
  <c r="D434" i="147"/>
  <c r="D433" s="1"/>
  <c r="D432" s="1"/>
  <c r="D431" s="1"/>
  <c r="D314"/>
  <c r="D313" s="1"/>
  <c r="D312" s="1"/>
  <c r="D311" s="1"/>
  <c r="D310" s="1"/>
  <c r="E501" i="155"/>
  <c r="E500" s="1"/>
  <c r="D201" i="147"/>
  <c r="D200" s="1"/>
  <c r="F161" i="155"/>
  <c r="D427" i="147"/>
  <c r="D426" s="1"/>
  <c r="D84"/>
  <c r="D83" s="1"/>
  <c r="D82" s="1"/>
  <c r="D81" s="1"/>
  <c r="D224"/>
  <c r="D223" s="1"/>
  <c r="D222" s="1"/>
  <c r="F40" i="155"/>
  <c r="D15" i="147"/>
  <c r="D14" s="1"/>
  <c r="D13" s="1"/>
  <c r="D199"/>
  <c r="D198" s="1"/>
  <c r="E538" i="155"/>
  <c r="E537" s="1"/>
  <c r="E536" s="1"/>
  <c r="D104" i="147"/>
  <c r="D103" s="1"/>
  <c r="D102" s="1"/>
  <c r="D101" s="1"/>
  <c r="D190"/>
  <c r="D242"/>
  <c r="D241" s="1"/>
  <c r="D240" s="1"/>
  <c r="F230" i="155"/>
  <c r="F229" s="1"/>
  <c r="F228" s="1"/>
  <c r="F227" s="1"/>
  <c r="F226" s="1"/>
  <c r="F225" s="1"/>
  <c r="D21" i="143" s="1"/>
  <c r="F342" i="155"/>
  <c r="F341" s="1"/>
  <c r="E703"/>
  <c r="E702" s="1"/>
  <c r="D21" i="147"/>
  <c r="D20" s="1"/>
  <c r="D19" s="1"/>
  <c r="E503" i="155"/>
  <c r="D480" i="147"/>
  <c r="D479" s="1"/>
  <c r="D478" s="1"/>
  <c r="D279"/>
  <c r="D278" s="1"/>
  <c r="D277" s="1"/>
  <c r="D273" s="1"/>
  <c r="D303"/>
  <c r="D302" s="1"/>
  <c r="D301" s="1"/>
  <c r="D331"/>
  <c r="D330" s="1"/>
  <c r="D329" s="1"/>
  <c r="D325" s="1"/>
  <c r="D189"/>
  <c r="D188" s="1"/>
  <c r="D234"/>
  <c r="D233" s="1"/>
  <c r="D232" s="1"/>
  <c r="F538" i="155"/>
  <c r="F537" s="1"/>
  <c r="F536" s="1"/>
  <c r="D37" i="147"/>
  <c r="D36" s="1"/>
  <c r="D35" s="1"/>
  <c r="D31" s="1"/>
  <c r="D497"/>
  <c r="D496" s="1"/>
  <c r="D210"/>
  <c r="D209" s="1"/>
  <c r="F177" i="155"/>
  <c r="F339"/>
  <c r="F338" s="1"/>
  <c r="E350"/>
  <c r="E349" s="1"/>
  <c r="E348" s="1"/>
  <c r="E347" s="1"/>
  <c r="D400" i="147"/>
  <c r="D399" s="1"/>
  <c r="D398" s="1"/>
  <c r="D154"/>
  <c r="D153" s="1"/>
  <c r="D152" s="1"/>
  <c r="D151" s="1"/>
  <c r="D158"/>
  <c r="D157" s="1"/>
  <c r="D156" s="1"/>
  <c r="D155" s="1"/>
  <c r="D499"/>
  <c r="D498" s="1"/>
  <c r="D30"/>
  <c r="D29" s="1"/>
  <c r="D92"/>
  <c r="D91" s="1"/>
  <c r="D90" s="1"/>
  <c r="D217"/>
  <c r="D216" s="1"/>
  <c r="F336" i="155"/>
  <c r="F335" s="1"/>
  <c r="F331" s="1"/>
  <c r="D525" i="147"/>
  <c r="D524" s="1"/>
  <c r="D514"/>
  <c r="D513" s="1"/>
  <c r="D272"/>
  <c r="D271" s="1"/>
  <c r="D270" s="1"/>
  <c r="D266" s="1"/>
  <c r="D425"/>
  <c r="D424" s="1"/>
  <c r="D173"/>
  <c r="D172" s="1"/>
  <c r="D171" s="1"/>
  <c r="D170" s="1"/>
  <c r="D260"/>
  <c r="D259" s="1"/>
  <c r="D258" s="1"/>
  <c r="F664" i="155"/>
  <c r="F663" s="1"/>
  <c r="D522" i="147"/>
  <c r="D521" s="1"/>
  <c r="D508"/>
  <c r="D507" s="1"/>
  <c r="D485"/>
  <c r="D484" s="1"/>
  <c r="D297"/>
  <c r="D296" s="1"/>
  <c r="D295" s="1"/>
  <c r="D339"/>
  <c r="D338" s="1"/>
  <c r="D337" s="1"/>
  <c r="D336" s="1"/>
  <c r="D335" s="1"/>
  <c r="D403"/>
  <c r="D402" s="1"/>
  <c r="D401" s="1"/>
  <c r="D439"/>
  <c r="D438" s="1"/>
  <c r="D437" s="1"/>
  <c r="D436" s="1"/>
  <c r="D18"/>
  <c r="D17" s="1"/>
  <c r="D16" s="1"/>
  <c r="D108"/>
  <c r="D107" s="1"/>
  <c r="D106" s="1"/>
  <c r="D105" s="1"/>
  <c r="D166"/>
  <c r="D165" s="1"/>
  <c r="D164" s="1"/>
  <c r="D160" s="1"/>
  <c r="D206"/>
  <c r="D205" s="1"/>
  <c r="D204" s="1"/>
  <c r="D203" s="1"/>
  <c r="D227"/>
  <c r="D226" s="1"/>
  <c r="D225" s="1"/>
  <c r="D246"/>
  <c r="D257"/>
  <c r="D256" s="1"/>
  <c r="D255" s="1"/>
  <c r="D212"/>
  <c r="D211" s="1"/>
  <c r="E664" i="155"/>
  <c r="D527" i="147"/>
  <c r="D526" s="1"/>
  <c r="D324"/>
  <c r="D323" s="1"/>
  <c r="D322" s="1"/>
  <c r="D321" s="1"/>
  <c r="D293"/>
  <c r="D292" s="1"/>
  <c r="D291" s="1"/>
  <c r="D284" s="1"/>
  <c r="D306"/>
  <c r="D305" s="1"/>
  <c r="D304" s="1"/>
  <c r="F122" i="155"/>
  <c r="E706"/>
  <c r="E705" s="1"/>
  <c r="D531" i="147"/>
  <c r="D530" s="1"/>
  <c r="D520"/>
  <c r="D519" s="1"/>
  <c r="D510"/>
  <c r="D509" s="1"/>
  <c r="D483"/>
  <c r="D482" s="1"/>
  <c r="D481" s="1"/>
  <c r="D300"/>
  <c r="D299" s="1"/>
  <c r="D298" s="1"/>
  <c r="D359"/>
  <c r="D358" s="1"/>
  <c r="D357" s="1"/>
  <c r="D353" s="1"/>
  <c r="D413"/>
  <c r="D412" s="1"/>
  <c r="D411" s="1"/>
  <c r="D404" s="1"/>
  <c r="D430"/>
  <c r="D429" s="1"/>
  <c r="D428" s="1"/>
  <c r="D443"/>
  <c r="D442" s="1"/>
  <c r="D441" s="1"/>
  <c r="D440" s="1"/>
  <c r="D28"/>
  <c r="D27" s="1"/>
  <c r="D112"/>
  <c r="D111" s="1"/>
  <c r="D110" s="1"/>
  <c r="D109" s="1"/>
  <c r="D187"/>
  <c r="D186" s="1"/>
  <c r="D215"/>
  <c r="D214" s="1"/>
  <c r="D230"/>
  <c r="D229" s="1"/>
  <c r="D228" s="1"/>
  <c r="D250"/>
  <c r="D249" s="1"/>
  <c r="D248" s="1"/>
  <c r="D254"/>
  <c r="D253" s="1"/>
  <c r="D252" s="1"/>
  <c r="D121"/>
  <c r="D120" s="1"/>
  <c r="D119" s="1"/>
  <c r="D115" s="1"/>
  <c r="D470"/>
  <c r="D469" s="1"/>
  <c r="D468" s="1"/>
  <c r="D367"/>
  <c r="F432" i="155"/>
  <c r="D237" i="147"/>
  <c r="D236" s="1"/>
  <c r="D100"/>
  <c r="D99" s="1"/>
  <c r="D98" s="1"/>
  <c r="D239"/>
  <c r="D238" s="1"/>
  <c r="E613" i="155"/>
  <c r="H7" i="161" s="1"/>
  <c r="D377" i="147"/>
  <c r="E122" i="155"/>
  <c r="E101"/>
  <c r="E100" s="1"/>
  <c r="F505"/>
  <c r="F504" s="1"/>
  <c r="F503" s="1"/>
  <c r="F234"/>
  <c r="F233" s="1"/>
  <c r="F232" s="1"/>
  <c r="D22" i="143" s="1"/>
  <c r="F106" i="155"/>
  <c r="F613"/>
  <c r="I7" i="161" s="1"/>
  <c r="E106" i="155"/>
  <c r="E234"/>
  <c r="E233" s="1"/>
  <c r="E232" s="1"/>
  <c r="C22" i="143" s="1"/>
  <c r="E631" i="155"/>
  <c r="E302"/>
  <c r="F168"/>
  <c r="F652"/>
  <c r="F651" s="1"/>
  <c r="F650" s="1"/>
  <c r="F649" s="1"/>
  <c r="F256"/>
  <c r="E548"/>
  <c r="E626"/>
  <c r="F631"/>
  <c r="E716"/>
  <c r="E715" s="1"/>
  <c r="E714" s="1"/>
  <c r="E713" s="1"/>
  <c r="E712" s="1"/>
  <c r="C43" i="143" s="1"/>
  <c r="E133" i="155"/>
  <c r="E132" s="1"/>
  <c r="E168"/>
  <c r="E199"/>
  <c r="E256"/>
  <c r="E558"/>
  <c r="E160"/>
  <c r="F548"/>
  <c r="E652"/>
  <c r="E651" s="1"/>
  <c r="E650" s="1"/>
  <c r="E649" s="1"/>
  <c r="F716"/>
  <c r="F715" s="1"/>
  <c r="F714" s="1"/>
  <c r="F713" s="1"/>
  <c r="F712" s="1"/>
  <c r="D43" i="143" s="1"/>
  <c r="G472" i="154"/>
  <c r="F472"/>
  <c r="G581"/>
  <c r="G122"/>
  <c r="G884"/>
  <c r="F884"/>
  <c r="G882"/>
  <c r="F882"/>
  <c r="G874"/>
  <c r="F874"/>
  <c r="G872"/>
  <c r="F872"/>
  <c r="G870"/>
  <c r="F870"/>
  <c r="G865"/>
  <c r="F865"/>
  <c r="G859"/>
  <c r="G858" s="1"/>
  <c r="G857" s="1"/>
  <c r="F859"/>
  <c r="F858" s="1"/>
  <c r="F857" s="1"/>
  <c r="G853"/>
  <c r="F853"/>
  <c r="G846"/>
  <c r="G845" s="1"/>
  <c r="F846"/>
  <c r="F845" s="1"/>
  <c r="G822"/>
  <c r="G821" s="1"/>
  <c r="G814" s="1"/>
  <c r="G813" s="1"/>
  <c r="F822"/>
  <c r="F821" s="1"/>
  <c r="F814" s="1"/>
  <c r="F813" s="1"/>
  <c r="G793"/>
  <c r="F794"/>
  <c r="F793" s="1"/>
  <c r="G786"/>
  <c r="G785" s="1"/>
  <c r="G784" s="1"/>
  <c r="G783" s="1"/>
  <c r="F786"/>
  <c r="F785" s="1"/>
  <c r="F784" s="1"/>
  <c r="F783" s="1"/>
  <c r="G771"/>
  <c r="G770" s="1"/>
  <c r="G766" s="1"/>
  <c r="F771"/>
  <c r="F770" s="1"/>
  <c r="F766" s="1"/>
  <c r="G764"/>
  <c r="G763" s="1"/>
  <c r="G759" s="1"/>
  <c r="F764"/>
  <c r="F763" s="1"/>
  <c r="F759" s="1"/>
  <c r="G751"/>
  <c r="G750" s="1"/>
  <c r="F751"/>
  <c r="F750" s="1"/>
  <c r="G754"/>
  <c r="G753" s="1"/>
  <c r="F754"/>
  <c r="F753" s="1"/>
  <c r="G725"/>
  <c r="G724" s="1"/>
  <c r="F725"/>
  <c r="F724" s="1"/>
  <c r="G728"/>
  <c r="G727" s="1"/>
  <c r="F728"/>
  <c r="F727" s="1"/>
  <c r="G714"/>
  <c r="G713" s="1"/>
  <c r="G712" s="1"/>
  <c r="G711" s="1"/>
  <c r="G710" s="1"/>
  <c r="G709" s="1"/>
  <c r="G708" s="1"/>
  <c r="F714"/>
  <c r="F713" s="1"/>
  <c r="F712" s="1"/>
  <c r="F711" s="1"/>
  <c r="F710" s="1"/>
  <c r="F709" s="1"/>
  <c r="F708" s="1"/>
  <c r="G706"/>
  <c r="G705" s="1"/>
  <c r="G704" s="1"/>
  <c r="G703" s="1"/>
  <c r="F706"/>
  <c r="F705" s="1"/>
  <c r="F704" s="1"/>
  <c r="F703" s="1"/>
  <c r="G697"/>
  <c r="F697"/>
  <c r="G695"/>
  <c r="F695"/>
  <c r="G688"/>
  <c r="F688"/>
  <c r="G686"/>
  <c r="F686"/>
  <c r="G684"/>
  <c r="F684"/>
  <c r="G681"/>
  <c r="G680" s="1"/>
  <c r="F681"/>
  <c r="F680" s="1"/>
  <c r="G678"/>
  <c r="F678"/>
  <c r="G676"/>
  <c r="F676"/>
  <c r="G672"/>
  <c r="G671" s="1"/>
  <c r="G670" s="1"/>
  <c r="F672"/>
  <c r="F671" s="1"/>
  <c r="F670" s="1"/>
  <c r="G668"/>
  <c r="G667" s="1"/>
  <c r="G666" s="1"/>
  <c r="F668"/>
  <c r="F667" s="1"/>
  <c r="F666" s="1"/>
  <c r="G660"/>
  <c r="G659" s="1"/>
  <c r="F660"/>
  <c r="F659" s="1"/>
  <c r="G657"/>
  <c r="G656" s="1"/>
  <c r="F657"/>
  <c r="F656" s="1"/>
  <c r="G650"/>
  <c r="G649" s="1"/>
  <c r="G645" s="1"/>
  <c r="G644" s="1"/>
  <c r="F650"/>
  <c r="F649" s="1"/>
  <c r="F645" s="1"/>
  <c r="F644" s="1"/>
  <c r="G638"/>
  <c r="F638"/>
  <c r="G636"/>
  <c r="F636"/>
  <c r="G633"/>
  <c r="G632" s="1"/>
  <c r="F633"/>
  <c r="F632" s="1"/>
  <c r="G618"/>
  <c r="G617" s="1"/>
  <c r="F618"/>
  <c r="F617" s="1"/>
  <c r="G597"/>
  <c r="G596" s="1"/>
  <c r="G595" s="1"/>
  <c r="G594" s="1"/>
  <c r="G593" s="1"/>
  <c r="G592" s="1"/>
  <c r="G591" s="1"/>
  <c r="F597"/>
  <c r="F596" s="1"/>
  <c r="F595" s="1"/>
  <c r="F594" s="1"/>
  <c r="F593" s="1"/>
  <c r="F592" s="1"/>
  <c r="F591" s="1"/>
  <c r="G589"/>
  <c r="G588" s="1"/>
  <c r="G587" s="1"/>
  <c r="G586" s="1"/>
  <c r="G585" s="1"/>
  <c r="G584" s="1"/>
  <c r="G583" s="1"/>
  <c r="F589"/>
  <c r="F588" s="1"/>
  <c r="F587" s="1"/>
  <c r="F586" s="1"/>
  <c r="F585" s="1"/>
  <c r="F584" s="1"/>
  <c r="F583" s="1"/>
  <c r="F581"/>
  <c r="G579"/>
  <c r="F579"/>
  <c r="G560"/>
  <c r="G559" s="1"/>
  <c r="F560"/>
  <c r="F559" s="1"/>
  <c r="G557"/>
  <c r="G556" s="1"/>
  <c r="F557"/>
  <c r="F556" s="1"/>
  <c r="G548"/>
  <c r="G547" s="1"/>
  <c r="G546" s="1"/>
  <c r="G545" s="1"/>
  <c r="G544" s="1"/>
  <c r="G543" s="1"/>
  <c r="F548"/>
  <c r="F547" s="1"/>
  <c r="F546" s="1"/>
  <c r="F545" s="1"/>
  <c r="F544" s="1"/>
  <c r="F543" s="1"/>
  <c r="G541"/>
  <c r="G540" s="1"/>
  <c r="G539" s="1"/>
  <c r="G538" s="1"/>
  <c r="G537" s="1"/>
  <c r="G536" s="1"/>
  <c r="G535" s="1"/>
  <c r="F541"/>
  <c r="F540" s="1"/>
  <c r="F539" s="1"/>
  <c r="F538" s="1"/>
  <c r="F537" s="1"/>
  <c r="F536" s="1"/>
  <c r="F535" s="1"/>
  <c r="G528"/>
  <c r="G527" s="1"/>
  <c r="G526" s="1"/>
  <c r="G525" s="1"/>
  <c r="F528"/>
  <c r="F527" s="1"/>
  <c r="F526" s="1"/>
  <c r="F525" s="1"/>
  <c r="G521"/>
  <c r="G520" s="1"/>
  <c r="G519" s="1"/>
  <c r="G518" s="1"/>
  <c r="G517" s="1"/>
  <c r="F521"/>
  <c r="F520" s="1"/>
  <c r="F519" s="1"/>
  <c r="F518" s="1"/>
  <c r="F517" s="1"/>
  <c r="G515"/>
  <c r="F515"/>
  <c r="G511"/>
  <c r="F511"/>
  <c r="G509"/>
  <c r="F509"/>
  <c r="G494"/>
  <c r="G493" s="1"/>
  <c r="F494"/>
  <c r="F493" s="1"/>
  <c r="G491"/>
  <c r="G490" s="1"/>
  <c r="F491"/>
  <c r="F490" s="1"/>
  <c r="G488"/>
  <c r="G487" s="1"/>
  <c r="F488"/>
  <c r="F487" s="1"/>
  <c r="G428"/>
  <c r="G427" s="1"/>
  <c r="G426" s="1"/>
  <c r="F428"/>
  <c r="F427" s="1"/>
  <c r="F426" s="1"/>
  <c r="G424"/>
  <c r="F424"/>
  <c r="G422"/>
  <c r="F422"/>
  <c r="G418"/>
  <c r="G417" s="1"/>
  <c r="G416" s="1"/>
  <c r="F418"/>
  <c r="F417" s="1"/>
  <c r="F416" s="1"/>
  <c r="G411"/>
  <c r="F411"/>
  <c r="G409"/>
  <c r="F409"/>
  <c r="G396"/>
  <c r="G395" s="1"/>
  <c r="G394" s="1"/>
  <c r="F396"/>
  <c r="F395" s="1"/>
  <c r="F394" s="1"/>
  <c r="G392"/>
  <c r="G391" s="1"/>
  <c r="G390" s="1"/>
  <c r="F392"/>
  <c r="F391" s="1"/>
  <c r="F390" s="1"/>
  <c r="G359"/>
  <c r="G358" s="1"/>
  <c r="G354" s="1"/>
  <c r="F359"/>
  <c r="F358" s="1"/>
  <c r="F354" s="1"/>
  <c r="G342"/>
  <c r="G341" s="1"/>
  <c r="G340" s="1"/>
  <c r="F342"/>
  <c r="F341" s="1"/>
  <c r="F340" s="1"/>
  <c r="G336"/>
  <c r="G335" s="1"/>
  <c r="G334" s="1"/>
  <c r="F336"/>
  <c r="F335" s="1"/>
  <c r="F334" s="1"/>
  <c r="G320"/>
  <c r="G319" s="1"/>
  <c r="G318" s="1"/>
  <c r="G317" s="1"/>
  <c r="G316" s="1"/>
  <c r="G315" s="1"/>
  <c r="F320"/>
  <c r="F319" s="1"/>
  <c r="F318" s="1"/>
  <c r="F317" s="1"/>
  <c r="F316" s="1"/>
  <c r="F315" s="1"/>
  <c r="G295"/>
  <c r="G294" s="1"/>
  <c r="G287" s="1"/>
  <c r="F295"/>
  <c r="F294" s="1"/>
  <c r="F287" s="1"/>
  <c r="G281"/>
  <c r="G280" s="1"/>
  <c r="G279" s="1"/>
  <c r="G278" s="1"/>
  <c r="F281"/>
  <c r="F280" s="1"/>
  <c r="F279" s="1"/>
  <c r="F278" s="1"/>
  <c r="G273"/>
  <c r="G272" s="1"/>
  <c r="F273"/>
  <c r="F272" s="1"/>
  <c r="G270"/>
  <c r="G269" s="1"/>
  <c r="F270"/>
  <c r="F269" s="1"/>
  <c r="G267"/>
  <c r="G266" s="1"/>
  <c r="F267"/>
  <c r="F266" s="1"/>
  <c r="G264"/>
  <c r="G263" s="1"/>
  <c r="F264"/>
  <c r="F263" s="1"/>
  <c r="G260"/>
  <c r="G259" s="1"/>
  <c r="G252" s="1"/>
  <c r="F260"/>
  <c r="F259" s="1"/>
  <c r="F252" s="1"/>
  <c r="G246"/>
  <c r="G245" s="1"/>
  <c r="G241" s="1"/>
  <c r="F246"/>
  <c r="F245" s="1"/>
  <c r="F241" s="1"/>
  <c r="G239"/>
  <c r="G238" s="1"/>
  <c r="G234" s="1"/>
  <c r="F239"/>
  <c r="F238" s="1"/>
  <c r="F234" s="1"/>
  <c r="G215"/>
  <c r="G214" s="1"/>
  <c r="G213" s="1"/>
  <c r="G212" s="1"/>
  <c r="F215"/>
  <c r="F214" s="1"/>
  <c r="F213" s="1"/>
  <c r="F212" s="1"/>
  <c r="G210"/>
  <c r="G209" s="1"/>
  <c r="G208" s="1"/>
  <c r="F210"/>
  <c r="F209" s="1"/>
  <c r="F208" s="1"/>
  <c r="G206"/>
  <c r="G205" s="1"/>
  <c r="G204" s="1"/>
  <c r="F206"/>
  <c r="F205" s="1"/>
  <c r="F204" s="1"/>
  <c r="G202"/>
  <c r="G201" s="1"/>
  <c r="G200" s="1"/>
  <c r="F202"/>
  <c r="F201" s="1"/>
  <c r="F200" s="1"/>
  <c r="G195"/>
  <c r="G194" s="1"/>
  <c r="G193" s="1"/>
  <c r="G192" s="1"/>
  <c r="F195"/>
  <c r="F194" s="1"/>
  <c r="F193" s="1"/>
  <c r="F192" s="1"/>
  <c r="G187"/>
  <c r="G186" s="1"/>
  <c r="G182" s="1"/>
  <c r="F187"/>
  <c r="F186" s="1"/>
  <c r="F182" s="1"/>
  <c r="G180"/>
  <c r="G179" s="1"/>
  <c r="G178" s="1"/>
  <c r="F180"/>
  <c r="F179" s="1"/>
  <c r="F178" s="1"/>
  <c r="G173"/>
  <c r="G172" s="1"/>
  <c r="G171" s="1"/>
  <c r="G170" s="1"/>
  <c r="G169" s="1"/>
  <c r="G168" s="1"/>
  <c r="F173"/>
  <c r="F172" s="1"/>
  <c r="F171" s="1"/>
  <c r="F170" s="1"/>
  <c r="F169" s="1"/>
  <c r="F168" s="1"/>
  <c r="G166"/>
  <c r="G165" s="1"/>
  <c r="G164" s="1"/>
  <c r="G163" s="1"/>
  <c r="G162" s="1"/>
  <c r="G161" s="1"/>
  <c r="F166"/>
  <c r="F165" s="1"/>
  <c r="F164" s="1"/>
  <c r="F163" s="1"/>
  <c r="F162" s="1"/>
  <c r="F161" s="1"/>
  <c r="G155"/>
  <c r="G154" s="1"/>
  <c r="G150" s="1"/>
  <c r="F155"/>
  <c r="F154" s="1"/>
  <c r="F150" s="1"/>
  <c r="G145"/>
  <c r="F145"/>
  <c r="G143"/>
  <c r="F143"/>
  <c r="G140"/>
  <c r="G139" s="1"/>
  <c r="F140"/>
  <c r="F139" s="1"/>
  <c r="F126"/>
  <c r="F122"/>
  <c r="G120"/>
  <c r="F120"/>
  <c r="F119" s="1"/>
  <c r="G117"/>
  <c r="G116" s="1"/>
  <c r="F117"/>
  <c r="F116" s="1"/>
  <c r="G98"/>
  <c r="G97" s="1"/>
  <c r="G96" s="1"/>
  <c r="G95" s="1"/>
  <c r="F98"/>
  <c r="F97" s="1"/>
  <c r="F96" s="1"/>
  <c r="F95" s="1"/>
  <c r="G93"/>
  <c r="G92" s="1"/>
  <c r="G91" s="1"/>
  <c r="G83" s="1"/>
  <c r="F93"/>
  <c r="F92" s="1"/>
  <c r="F91" s="1"/>
  <c r="F83" s="1"/>
  <c r="G75"/>
  <c r="G74" s="1"/>
  <c r="G73" s="1"/>
  <c r="G72" s="1"/>
  <c r="G71" s="1"/>
  <c r="F75"/>
  <c r="F74" s="1"/>
  <c r="F73" s="1"/>
  <c r="F72" s="1"/>
  <c r="F71" s="1"/>
  <c r="G69"/>
  <c r="G68" s="1"/>
  <c r="F69"/>
  <c r="F68" s="1"/>
  <c r="G66"/>
  <c r="G65" s="1"/>
  <c r="F66"/>
  <c r="F65" s="1"/>
  <c r="G62"/>
  <c r="F62"/>
  <c r="G60"/>
  <c r="F60"/>
  <c r="G46"/>
  <c r="G45" s="1"/>
  <c r="G44" s="1"/>
  <c r="G43" s="1"/>
  <c r="G42" s="1"/>
  <c r="F46"/>
  <c r="F45" s="1"/>
  <c r="F44" s="1"/>
  <c r="F43" s="1"/>
  <c r="F42" s="1"/>
  <c r="G25"/>
  <c r="F25"/>
  <c r="G23"/>
  <c r="F23"/>
  <c r="G40"/>
  <c r="G39" s="1"/>
  <c r="F40"/>
  <c r="F39" s="1"/>
  <c r="G37"/>
  <c r="F37"/>
  <c r="G33"/>
  <c r="F33"/>
  <c r="G31"/>
  <c r="F31"/>
  <c r="G13"/>
  <c r="G12" s="1"/>
  <c r="G11" s="1"/>
  <c r="G10" s="1"/>
  <c r="G9" s="1"/>
  <c r="F13"/>
  <c r="F12" s="1"/>
  <c r="F11" s="1"/>
  <c r="F10" s="1"/>
  <c r="F9" s="1"/>
  <c r="E265" i="147" l="1"/>
  <c r="E195"/>
  <c r="E506"/>
  <c r="E486" s="1"/>
  <c r="E320"/>
  <c r="E471"/>
  <c r="E251"/>
  <c r="E9"/>
  <c r="E481"/>
  <c r="E208"/>
  <c r="F514" i="155"/>
  <c r="F513" s="1"/>
  <c r="F512" s="1"/>
  <c r="E523" i="147"/>
  <c r="E88"/>
  <c r="E213"/>
  <c r="E26"/>
  <c r="E25" s="1"/>
  <c r="E185"/>
  <c r="E218"/>
  <c r="F27" i="155"/>
  <c r="F17" s="1"/>
  <c r="F16" s="1"/>
  <c r="F15" s="1"/>
  <c r="F14" s="1"/>
  <c r="D9" i="143" s="1"/>
  <c r="D294" i="147"/>
  <c r="D283" s="1"/>
  <c r="D471"/>
  <c r="F635" i="154"/>
  <c r="F625"/>
  <c r="G635"/>
  <c r="G625" s="1"/>
  <c r="G262"/>
  <c r="F262"/>
  <c r="E16" i="155"/>
  <c r="E15" s="1"/>
  <c r="E14" s="1"/>
  <c r="C9" i="143" s="1"/>
  <c r="F67" i="155"/>
  <c r="F66" s="1"/>
  <c r="F65" s="1"/>
  <c r="D12" i="143" s="1"/>
  <c r="E67" i="155"/>
  <c r="E66" s="1"/>
  <c r="E65" s="1"/>
  <c r="C12" i="143" s="1"/>
  <c r="F869" i="154"/>
  <c r="F864"/>
  <c r="F863" s="1"/>
  <c r="G864"/>
  <c r="G863" s="1"/>
  <c r="G869"/>
  <c r="E541" i="155"/>
  <c r="E540" s="1"/>
  <c r="F541"/>
  <c r="F540" s="1"/>
  <c r="F77" i="154"/>
  <c r="G77"/>
  <c r="F508"/>
  <c r="F501" s="1"/>
  <c r="D523" i="147"/>
  <c r="G508" i="154"/>
  <c r="G501" s="1"/>
  <c r="F251"/>
  <c r="G251"/>
  <c r="F320" i="155"/>
  <c r="F301" s="1"/>
  <c r="F300" s="1"/>
  <c r="E320"/>
  <c r="E301" s="1"/>
  <c r="E300" s="1"/>
  <c r="E279" s="1"/>
  <c r="G30" i="154"/>
  <c r="F30"/>
  <c r="D506" i="147"/>
  <c r="E159" i="155"/>
  <c r="E158" s="1"/>
  <c r="G797" i="154"/>
  <c r="G796" s="1"/>
  <c r="E433" i="155"/>
  <c r="E432" s="1"/>
  <c r="G746" i="154"/>
  <c r="G745" s="1"/>
  <c r="F655"/>
  <c r="F654" s="1"/>
  <c r="F653" s="1"/>
  <c r="F652" s="1"/>
  <c r="F675"/>
  <c r="F746"/>
  <c r="G720"/>
  <c r="F720"/>
  <c r="F719" s="1"/>
  <c r="D9" i="147"/>
  <c r="G655" i="154"/>
  <c r="G654" s="1"/>
  <c r="G653" s="1"/>
  <c r="G652" s="1"/>
  <c r="G675"/>
  <c r="G483"/>
  <c r="G482" s="1"/>
  <c r="G481" s="1"/>
  <c r="G480" s="1"/>
  <c r="G479" s="1"/>
  <c r="G149"/>
  <c r="G148" s="1"/>
  <c r="G147" s="1"/>
  <c r="F149"/>
  <c r="F148" s="1"/>
  <c r="F147" s="1"/>
  <c r="F483"/>
  <c r="F482" s="1"/>
  <c r="F481" s="1"/>
  <c r="F480" s="1"/>
  <c r="F479" s="1"/>
  <c r="F286"/>
  <c r="F285" s="1"/>
  <c r="E351" i="147"/>
  <c r="D352"/>
  <c r="D351" s="1"/>
  <c r="D218"/>
  <c r="F355" i="155"/>
  <c r="F354" s="1"/>
  <c r="F353" s="1"/>
  <c r="D29" i="143" s="1"/>
  <c r="E355" i="155"/>
  <c r="E354" s="1"/>
  <c r="G613" i="154"/>
  <c r="G612" s="1"/>
  <c r="G611" s="1"/>
  <c r="G610" s="1"/>
  <c r="G599" s="1"/>
  <c r="F659" i="155"/>
  <c r="F658" s="1"/>
  <c r="F657" s="1"/>
  <c r="F648" s="1"/>
  <c r="D40" i="143" s="1"/>
  <c r="F613" i="154"/>
  <c r="F612" s="1"/>
  <c r="F611" s="1"/>
  <c r="F610" s="1"/>
  <c r="F599" s="1"/>
  <c r="E663" i="155"/>
  <c r="G789" i="154"/>
  <c r="G788" s="1"/>
  <c r="F789"/>
  <c r="F788" s="1"/>
  <c r="D89" i="147"/>
  <c r="D88" s="1"/>
  <c r="G839" i="154"/>
  <c r="G838" s="1"/>
  <c r="G837" s="1"/>
  <c r="G836" s="1"/>
  <c r="F839"/>
  <c r="F838" s="1"/>
  <c r="F837" s="1"/>
  <c r="F836" s="1"/>
  <c r="F492" i="155"/>
  <c r="E494"/>
  <c r="E493" s="1"/>
  <c r="E492" s="1"/>
  <c r="D245" i="147"/>
  <c r="D244" s="1"/>
  <c r="D243" s="1"/>
  <c r="F195" i="155"/>
  <c r="F194" s="1"/>
  <c r="F193" s="1"/>
  <c r="F192" s="1"/>
  <c r="F127"/>
  <c r="E397" i="147" s="1"/>
  <c r="E396" s="1"/>
  <c r="E395" s="1"/>
  <c r="E391" s="1"/>
  <c r="E390" s="1"/>
  <c r="E127" i="155"/>
  <c r="E126" s="1"/>
  <c r="E125" s="1"/>
  <c r="E121" s="1"/>
  <c r="F39"/>
  <c r="F35" s="1"/>
  <c r="F34" s="1"/>
  <c r="F33" s="1"/>
  <c r="E39"/>
  <c r="E35" s="1"/>
  <c r="E195"/>
  <c r="E194" s="1"/>
  <c r="E193" s="1"/>
  <c r="E192" s="1"/>
  <c r="C17" i="143" s="1"/>
  <c r="G461" i="154"/>
  <c r="F461"/>
  <c r="E514" i="155"/>
  <c r="E513" s="1"/>
  <c r="E512" s="1"/>
  <c r="E381"/>
  <c r="E380" s="1"/>
  <c r="F160"/>
  <c r="F159" s="1"/>
  <c r="F381"/>
  <c r="F380" s="1"/>
  <c r="G377" i="154"/>
  <c r="G376" s="1"/>
  <c r="G372" s="1"/>
  <c r="G371" s="1"/>
  <c r="F583" i="155"/>
  <c r="E139" i="147" s="1"/>
  <c r="E138" s="1"/>
  <c r="E137" s="1"/>
  <c r="E133" s="1"/>
  <c r="E132" s="1"/>
  <c r="F377" i="154"/>
  <c r="F376" s="1"/>
  <c r="F372" s="1"/>
  <c r="F371" s="1"/>
  <c r="E583" i="155"/>
  <c r="F852" i="154"/>
  <c r="F851" s="1"/>
  <c r="F850" s="1"/>
  <c r="F849" s="1"/>
  <c r="G126"/>
  <c r="G119" s="1"/>
  <c r="F184" i="155"/>
  <c r="E531" i="147" s="1"/>
  <c r="E530" s="1"/>
  <c r="F529" i="155"/>
  <c r="F528" s="1"/>
  <c r="G852" i="154"/>
  <c r="G851" s="1"/>
  <c r="G850" s="1"/>
  <c r="G849" s="1"/>
  <c r="E529" i="155"/>
  <c r="E528" s="1"/>
  <c r="D423" i="147"/>
  <c r="D320"/>
  <c r="D319" s="1"/>
  <c r="D251"/>
  <c r="D208"/>
  <c r="D195"/>
  <c r="D114"/>
  <c r="D185"/>
  <c r="D495"/>
  <c r="D518"/>
  <c r="E99" i="155"/>
  <c r="E98" s="1"/>
  <c r="D265" i="147"/>
  <c r="D213"/>
  <c r="D490"/>
  <c r="D26"/>
  <c r="D25" s="1"/>
  <c r="D435"/>
  <c r="E319"/>
  <c r="F721" i="155"/>
  <c r="F625"/>
  <c r="I8" i="161" s="1"/>
  <c r="E255" i="155"/>
  <c r="E254" s="1"/>
  <c r="C23" i="143" s="1"/>
  <c r="E721" i="155"/>
  <c r="C45" i="143"/>
  <c r="E625" i="155"/>
  <c r="H8" i="161" s="1"/>
  <c r="H9" s="1"/>
  <c r="F255" i="155"/>
  <c r="F254" s="1"/>
  <c r="D23" i="143" s="1"/>
  <c r="D235" i="147"/>
  <c r="D231" s="1"/>
  <c r="E612" i="155"/>
  <c r="E611" s="1"/>
  <c r="E610" s="1"/>
  <c r="E609" s="1"/>
  <c r="C38" i="143" s="1"/>
  <c r="F612" i="155"/>
  <c r="F611" s="1"/>
  <c r="F610" s="1"/>
  <c r="F609" s="1"/>
  <c r="D38" i="143" s="1"/>
  <c r="E694" i="155"/>
  <c r="F694"/>
  <c r="G107" i="154"/>
  <c r="G339"/>
  <c r="G338" s="1"/>
  <c r="F339"/>
  <c r="F338" s="1"/>
  <c r="F329"/>
  <c r="F323" s="1"/>
  <c r="G329"/>
  <c r="G323" s="1"/>
  <c r="F421"/>
  <c r="F420" s="1"/>
  <c r="F415" s="1"/>
  <c r="F702"/>
  <c r="F701" s="1"/>
  <c r="F700" s="1"/>
  <c r="F22"/>
  <c r="G683"/>
  <c r="F142"/>
  <c r="F138" s="1"/>
  <c r="F137" s="1"/>
  <c r="F136" s="1"/>
  <c r="F135" s="1"/>
  <c r="G142"/>
  <c r="G138" s="1"/>
  <c r="G137" s="1"/>
  <c r="G136" s="1"/>
  <c r="G135" s="1"/>
  <c r="F233"/>
  <c r="G353"/>
  <c r="F524"/>
  <c r="F523" s="1"/>
  <c r="G643"/>
  <c r="G642" s="1"/>
  <c r="F59"/>
  <c r="F58" s="1"/>
  <c r="G59"/>
  <c r="G58" s="1"/>
  <c r="G524"/>
  <c r="G523" s="1"/>
  <c r="F555"/>
  <c r="F881"/>
  <c r="F880" s="1"/>
  <c r="F879" s="1"/>
  <c r="F878" s="1"/>
  <c r="F877" s="1"/>
  <c r="F876" s="1"/>
  <c r="G64"/>
  <c r="F694"/>
  <c r="F693" s="1"/>
  <c r="F692" s="1"/>
  <c r="F691" s="1"/>
  <c r="F690" s="1"/>
  <c r="G881"/>
  <c r="G880" s="1"/>
  <c r="G879" s="1"/>
  <c r="G878" s="1"/>
  <c r="G877" s="1"/>
  <c r="G876" s="1"/>
  <c r="G22"/>
  <c r="F64"/>
  <c r="G177"/>
  <c r="G176" s="1"/>
  <c r="G175" s="1"/>
  <c r="G233"/>
  <c r="F353"/>
  <c r="F643"/>
  <c r="F642" s="1"/>
  <c r="F683"/>
  <c r="G702"/>
  <c r="G701" s="1"/>
  <c r="G700" s="1"/>
  <c r="G812"/>
  <c r="G811" s="1"/>
  <c r="F107"/>
  <c r="F177"/>
  <c r="F176" s="1"/>
  <c r="F175" s="1"/>
  <c r="F408"/>
  <c r="F407" s="1"/>
  <c r="F406" s="1"/>
  <c r="F405" s="1"/>
  <c r="F404" s="1"/>
  <c r="G555"/>
  <c r="G578"/>
  <c r="G577" s="1"/>
  <c r="G576" s="1"/>
  <c r="G571" s="1"/>
  <c r="F199"/>
  <c r="G408"/>
  <c r="G407" s="1"/>
  <c r="G406" s="1"/>
  <c r="G405" s="1"/>
  <c r="G404" s="1"/>
  <c r="G421"/>
  <c r="G420" s="1"/>
  <c r="G415" s="1"/>
  <c r="F578"/>
  <c r="F577" s="1"/>
  <c r="F576" s="1"/>
  <c r="F571" s="1"/>
  <c r="F812"/>
  <c r="F811" s="1"/>
  <c r="G694"/>
  <c r="G693" s="1"/>
  <c r="G692" s="1"/>
  <c r="G691" s="1"/>
  <c r="G690" s="1"/>
  <c r="G199"/>
  <c r="F191" i="155" l="1"/>
  <c r="D17" i="143"/>
  <c r="E467" i="147"/>
  <c r="E184"/>
  <c r="E159" s="1"/>
  <c r="G106" i="154"/>
  <c r="E207" i="147"/>
  <c r="E202" s="1"/>
  <c r="F279" i="155"/>
  <c r="D27" i="143"/>
  <c r="D24" s="1"/>
  <c r="F491" i="155"/>
  <c r="D33" i="143" s="1"/>
  <c r="E8" i="147"/>
  <c r="D486"/>
  <c r="D467" s="1"/>
  <c r="F18" i="154"/>
  <c r="F17" s="1"/>
  <c r="F16" s="1"/>
  <c r="F15" s="1"/>
  <c r="G18"/>
  <c r="G17" s="1"/>
  <c r="G16" s="1"/>
  <c r="G15" s="1"/>
  <c r="G624"/>
  <c r="G623" s="1"/>
  <c r="G622" s="1"/>
  <c r="G621" s="1"/>
  <c r="G620" s="1"/>
  <c r="F624"/>
  <c r="F623" s="1"/>
  <c r="F622" s="1"/>
  <c r="F621" s="1"/>
  <c r="F620" s="1"/>
  <c r="F32" i="155"/>
  <c r="D10" i="143" s="1"/>
  <c r="G500" i="154"/>
  <c r="G499" s="1"/>
  <c r="G498" s="1"/>
  <c r="G497" s="1"/>
  <c r="G496" s="1"/>
  <c r="F500"/>
  <c r="F499" s="1"/>
  <c r="F498" s="1"/>
  <c r="F497" s="1"/>
  <c r="F496" s="1"/>
  <c r="F106"/>
  <c r="F100" s="1"/>
  <c r="G100"/>
  <c r="E149" i="155"/>
  <c r="F620"/>
  <c r="F619" s="1"/>
  <c r="F618" s="1"/>
  <c r="I9" i="161"/>
  <c r="E34" i="155"/>
  <c r="E33" s="1"/>
  <c r="E32" s="1"/>
  <c r="C10" i="143" s="1"/>
  <c r="E379" i="155"/>
  <c r="C30" i="143" s="1"/>
  <c r="F379" i="155"/>
  <c r="D30" i="143" s="1"/>
  <c r="E458" i="155"/>
  <c r="E457" s="1"/>
  <c r="E450" s="1"/>
  <c r="E449" s="1"/>
  <c r="E448" s="1"/>
  <c r="E447" s="1"/>
  <c r="F284" i="154"/>
  <c r="E353" i="155"/>
  <c r="C29" i="143" s="1"/>
  <c r="F797" i="154"/>
  <c r="F796" s="1"/>
  <c r="F554"/>
  <c r="F553" s="1"/>
  <c r="F552" s="1"/>
  <c r="F551" s="1"/>
  <c r="F550" s="1"/>
  <c r="G554"/>
  <c r="G553" s="1"/>
  <c r="G552" s="1"/>
  <c r="G551" s="1"/>
  <c r="G550" s="1"/>
  <c r="E120" i="155"/>
  <c r="E119" s="1"/>
  <c r="G352" i="154"/>
  <c r="F134"/>
  <c r="G134"/>
  <c r="F352"/>
  <c r="F436"/>
  <c r="F435" s="1"/>
  <c r="F434" s="1"/>
  <c r="F433" s="1"/>
  <c r="G436"/>
  <c r="G435" s="1"/>
  <c r="G434" s="1"/>
  <c r="G433" s="1"/>
  <c r="G286"/>
  <c r="G285" s="1"/>
  <c r="G719"/>
  <c r="G718" s="1"/>
  <c r="G717" s="1"/>
  <c r="F718"/>
  <c r="F717" s="1"/>
  <c r="E669" i="155"/>
  <c r="E668" s="1"/>
  <c r="E667" s="1"/>
  <c r="C42" i="143" s="1"/>
  <c r="F669" i="155"/>
  <c r="F668" s="1"/>
  <c r="F667" s="1"/>
  <c r="E659"/>
  <c r="E658" s="1"/>
  <c r="E657" s="1"/>
  <c r="E648" s="1"/>
  <c r="C40" i="143" s="1"/>
  <c r="F126" i="155"/>
  <c r="F125" s="1"/>
  <c r="F121" s="1"/>
  <c r="D74" i="147"/>
  <c r="D73" s="1"/>
  <c r="D72" s="1"/>
  <c r="D65" s="1"/>
  <c r="G744" i="154"/>
  <c r="G743" s="1"/>
  <c r="D397" i="147"/>
  <c r="D396" s="1"/>
  <c r="D395" s="1"/>
  <c r="D391" s="1"/>
  <c r="D390" s="1"/>
  <c r="F527" i="155"/>
  <c r="D34" i="143" s="1"/>
  <c r="E191" i="155"/>
  <c r="E491"/>
  <c r="C33" i="143" s="1"/>
  <c r="G198" i="154"/>
  <c r="G197" s="1"/>
  <c r="G160" s="1"/>
  <c r="F198"/>
  <c r="F197" s="1"/>
  <c r="F160" s="1"/>
  <c r="F232"/>
  <c r="F231" s="1"/>
  <c r="F217" s="1"/>
  <c r="D422" i="147"/>
  <c r="D421" s="1"/>
  <c r="F745" i="154"/>
  <c r="F744" s="1"/>
  <c r="D8" i="147"/>
  <c r="D207"/>
  <c r="D202" s="1"/>
  <c r="F582" i="155"/>
  <c r="F581" s="1"/>
  <c r="F577" s="1"/>
  <c r="F576" s="1"/>
  <c r="F183"/>
  <c r="E582"/>
  <c r="E581" s="1"/>
  <c r="E577" s="1"/>
  <c r="E576" s="1"/>
  <c r="D139" i="147"/>
  <c r="D138" s="1"/>
  <c r="D137" s="1"/>
  <c r="D133" s="1"/>
  <c r="D132" s="1"/>
  <c r="G414" i="154"/>
  <c r="G413" s="1"/>
  <c r="G403" s="1"/>
  <c r="F414"/>
  <c r="F413" s="1"/>
  <c r="F403" s="1"/>
  <c r="E527" i="155"/>
  <c r="C34" i="143" s="1"/>
  <c r="E376" i="147"/>
  <c r="E264"/>
  <c r="D264"/>
  <c r="D184"/>
  <c r="D159" s="1"/>
  <c r="E620" i="155"/>
  <c r="E619" s="1"/>
  <c r="E618" s="1"/>
  <c r="F217"/>
  <c r="E217"/>
  <c r="C27" i="143"/>
  <c r="C24" s="1"/>
  <c r="G674" i="154"/>
  <c r="G665" s="1"/>
  <c r="F862"/>
  <c r="F861" s="1"/>
  <c r="F848" s="1"/>
  <c r="G322"/>
  <c r="F322"/>
  <c r="G57"/>
  <c r="G56" s="1"/>
  <c r="G641"/>
  <c r="F641"/>
  <c r="F57"/>
  <c r="F56" s="1"/>
  <c r="G862"/>
  <c r="G861" s="1"/>
  <c r="G848" s="1"/>
  <c r="G716" s="1"/>
  <c r="F674"/>
  <c r="F665" s="1"/>
  <c r="G232"/>
  <c r="G231" s="1"/>
  <c r="G217" s="1"/>
  <c r="D42" i="143" l="1"/>
  <c r="F666" i="155"/>
  <c r="F716" i="154"/>
  <c r="F608" i="155"/>
  <c r="D39" i="143"/>
  <c r="E444" i="147"/>
  <c r="D444"/>
  <c r="E97" i="155"/>
  <c r="C15" i="143" s="1"/>
  <c r="C7" s="1"/>
  <c r="F176" i="155"/>
  <c r="F158" s="1"/>
  <c r="F743" i="154"/>
  <c r="F351"/>
  <c r="F350" s="1"/>
  <c r="G351"/>
  <c r="G350" s="1"/>
  <c r="F283"/>
  <c r="F458" i="155"/>
  <c r="F457" s="1"/>
  <c r="G284" i="154"/>
  <c r="G283" s="1"/>
  <c r="C31" i="143"/>
  <c r="F120" i="155"/>
  <c r="F119" s="1"/>
  <c r="E557"/>
  <c r="D64" i="147"/>
  <c r="D7" s="1"/>
  <c r="G664" i="154"/>
  <c r="G663" s="1"/>
  <c r="G662" s="1"/>
  <c r="G640" s="1"/>
  <c r="F664"/>
  <c r="F663" s="1"/>
  <c r="F662" s="1"/>
  <c r="F640" s="1"/>
  <c r="E666" i="155"/>
  <c r="E608"/>
  <c r="G699" i="154"/>
  <c r="E7" i="147"/>
  <c r="D376"/>
  <c r="F55" i="154"/>
  <c r="C39" i="143"/>
  <c r="G55" i="154"/>
  <c r="G8" s="1"/>
  <c r="F699" l="1"/>
  <c r="F450" i="155"/>
  <c r="F449" s="1"/>
  <c r="F448" s="1"/>
  <c r="F447" s="1"/>
  <c r="E7"/>
  <c r="F149"/>
  <c r="F97" s="1"/>
  <c r="E556"/>
  <c r="E555" s="1"/>
  <c r="E352"/>
  <c r="F557"/>
  <c r="E113" i="147"/>
  <c r="E6" s="1"/>
  <c r="D113"/>
  <c r="D6" s="1"/>
  <c r="F8" i="154"/>
  <c r="F7" s="1"/>
  <c r="F6" s="1"/>
  <c r="G7"/>
  <c r="G6" s="1"/>
  <c r="D31" i="143" l="1"/>
  <c r="D28" s="1"/>
  <c r="F352" i="155"/>
  <c r="F7"/>
  <c r="D15" i="143"/>
  <c r="D7" s="1"/>
  <c r="C36"/>
  <c r="F556" i="155"/>
  <c r="E6"/>
  <c r="C28" i="143"/>
  <c r="F555" i="155" l="1"/>
  <c r="F6" s="1"/>
  <c r="D36" i="143"/>
  <c r="D19"/>
  <c r="C19"/>
  <c r="C44" l="1"/>
  <c r="D44"/>
  <c r="C46"/>
  <c r="C35"/>
  <c r="D46"/>
  <c r="C16" l="1"/>
  <c r="D16"/>
  <c r="D35"/>
  <c r="C37"/>
  <c r="D37"/>
  <c r="D41"/>
  <c r="C41"/>
  <c r="D6" l="1"/>
  <c r="C6"/>
</calcChain>
</file>

<file path=xl/sharedStrings.xml><?xml version="1.0" encoding="utf-8"?>
<sst xmlns="http://schemas.openxmlformats.org/spreadsheetml/2006/main" count="6693" uniqueCount="884">
  <si>
    <t>Другие вопросы в области физической культуры и спорта</t>
  </si>
  <si>
    <t>Всего: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</si>
  <si>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</si>
  <si>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</si>
  <si>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</si>
  <si>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</si>
  <si>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</si>
  <si>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</si>
  <si>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</si>
  <si>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</si>
  <si>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</si>
  <si>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</si>
  <si>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</si>
  <si>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</si>
  <si>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</si>
  <si>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</si>
  <si>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</si>
  <si>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</si>
  <si>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</si>
  <si>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</si>
  <si>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</si>
  <si>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</si>
  <si>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</si>
  <si>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</si>
  <si>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</si>
  <si>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</si>
  <si>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</si>
  <si>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</si>
  <si>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</si>
  <si>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</si>
  <si>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</si>
  <si>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</si>
  <si>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</si>
  <si>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Благоустройство</t>
  </si>
  <si>
    <t>Образование</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</si>
  <si>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</si>
  <si>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</si>
  <si>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</si>
  <si>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</si>
  <si>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</si>
  <si>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</si>
  <si>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</si>
  <si>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</si>
  <si>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</si>
  <si>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</si>
  <si>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</si>
  <si>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</si>
  <si>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</si>
  <si>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</si>
  <si>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</si>
  <si>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</si>
  <si>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</si>
  <si>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</si>
  <si>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</si>
  <si>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</si>
  <si>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</si>
  <si>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</si>
  <si>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</si>
  <si>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</si>
  <si>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</si>
  <si>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</si>
  <si>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</si>
  <si>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</si>
  <si>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</si>
  <si>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</si>
  <si>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</si>
  <si>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</si>
  <si>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</si>
  <si>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</si>
  <si>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</si>
  <si>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</si>
  <si>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</si>
  <si>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</si>
  <si>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</si>
  <si>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</si>
  <si>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</si>
  <si>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</si>
  <si>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</si>
  <si>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</si>
  <si>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</si>
  <si>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</si>
  <si>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</si>
  <si>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</si>
  <si>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</si>
  <si>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</si>
  <si>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</si>
  <si>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</si>
  <si>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</si>
  <si>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 xml:space="preserve">Культура,  кинематография </t>
  </si>
  <si>
    <t>администрация муниципального образования город Торжок</t>
  </si>
  <si>
    <t>Предоставление субсидий бюджетным, автономным учреждениям и иным некоммерческим организациям</t>
  </si>
  <si>
    <t>1004</t>
  </si>
  <si>
    <t>Охрана семьи и детства</t>
  </si>
  <si>
    <t>1102</t>
  </si>
  <si>
    <t>1105</t>
  </si>
  <si>
    <t>0405</t>
  </si>
  <si>
    <t>Сельское хозяйство и рыболовство</t>
  </si>
  <si>
    <t>2018 год</t>
  </si>
  <si>
    <t>2019 год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</si>
  <si>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</si>
  <si>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</si>
  <si>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</si>
  <si>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</si>
  <si>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</si>
  <si>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</si>
  <si>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</si>
  <si>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7</t>
  </si>
  <si>
    <t>Закупка товаров, работ и услуг для обеспечения  государственных (муниципальных ) нужд</t>
  </si>
  <si>
    <t>Капитальные  вложения в объекты недвижимого имущества государственной (муниципальной) собственности</t>
  </si>
  <si>
    <t>600</t>
  </si>
  <si>
    <t>Предоставление субсидий  бюджетным, автономным учреждениям и иным некоммерческим организациям</t>
  </si>
  <si>
    <t>Обслуживание муниципального долга</t>
  </si>
  <si>
    <t>700</t>
  </si>
  <si>
    <t>Обслуживание государственного (муниципального ) долга</t>
  </si>
  <si>
    <t>Обслуживание государственного и муниципального долга</t>
  </si>
  <si>
    <t xml:space="preserve">Молодежная политика </t>
  </si>
  <si>
    <t>0401</t>
  </si>
  <si>
    <t>Общеэкономические вопросы</t>
  </si>
  <si>
    <t xml:space="preserve"> Расходы на выплаты персоналу государственных
(муниципальных) органов
</t>
  </si>
  <si>
    <t xml:space="preserve">Уплата налогов, сборов и иных платежей </t>
  </si>
  <si>
    <t>320</t>
  </si>
  <si>
    <t>Социальные выплаты гражданам, кроме публичных нормативных социальных выплат</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</si>
  <si>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</si>
  <si>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Субсидии бюджетным учреждениям</t>
  </si>
  <si>
    <t>Расходы, не включенные в муниципальные программы</t>
  </si>
  <si>
    <t>Оценка недвижимости, признание прав и регулирование отношений по муниципальной собственности</t>
  </si>
  <si>
    <t>Подпрограмма "Обеспечение эффективного управления имуществом города и вовлечение его в хозяйственный оборот"</t>
  </si>
  <si>
    <t>Мероприятие "Управление муниципальным имуществом"</t>
  </si>
  <si>
    <t xml:space="preserve">Содержание имущества казны муниципального образования </t>
  </si>
  <si>
    <t>9900000000</t>
  </si>
  <si>
    <t xml:space="preserve">Формирование земельных участков, находящихся в ведении муниципального образования </t>
  </si>
  <si>
    <t>Мероприятие "Формирование муниципального жилищного фонда"</t>
  </si>
  <si>
    <t>Взносы на капитальный ремонт общего домового имущества многоквартирных домов в части доли имущества, находящегося в муниципальной собственности</t>
  </si>
  <si>
    <t>Муниципальная программа муниципального образования город Торжок "Экономическое развитие и инвестиционная привлекательность города Торжка" на 2018  - 2023 годы</t>
  </si>
  <si>
    <t>16202R0820</t>
  </si>
  <si>
    <t>Подпрограмма  "Создание условий для воспитания гармоничного развития личности"</t>
  </si>
  <si>
    <t>Мероприятие  "Поддержка деятельности городских трудовых объединений молодежи по организации временной занятости обучающихся в свободное от учебы время"</t>
  </si>
  <si>
    <t>Организация временной занятости несовершеннолетних в свободное от учебы время</t>
  </si>
  <si>
    <t>Обеспечение деятельности исполнительно-распорядительного органа местного самоуправления</t>
  </si>
  <si>
    <t>Обеспечение деятельности исполнительно-распорядительных органов местного самоуправления за исключением переданных государственных полномочий</t>
  </si>
  <si>
    <t>410</t>
  </si>
  <si>
    <t>Бюджетные инвестиции</t>
  </si>
  <si>
    <t>Подпрограмма "Дополнительное образование "</t>
  </si>
  <si>
    <t>Мероприятие "Оказание муниципальных услуг, выполнение работ муниципальными организациями, реализующими программы дополнительного образования"</t>
  </si>
  <si>
    <t>Оказание муниципальными учреждениями муниципальных услуг, выполнение работ</t>
  </si>
  <si>
    <t>Подпрограмма "Санитарно-эпизоотическое благополучие населения"</t>
  </si>
  <si>
    <t>Подпрограмма "Дорожное хозяйство "</t>
  </si>
  <si>
    <t>Содержание автомобильных дорог общего пользования местного значения и искусственных сооружений на них</t>
  </si>
  <si>
    <t>Проектирование, капитальный ремонт и ремонт объектов</t>
  </si>
  <si>
    <t>Подпрограмма "Обеспечение безопасности дорожного движения"</t>
  </si>
  <si>
    <t>Разметка объектов дорожного хозяйства</t>
  </si>
  <si>
    <t>Мероприятие "Повышение уровня благоустройства дворовых территорий города"</t>
  </si>
  <si>
    <t>13101L5550</t>
  </si>
  <si>
    <t>Мероприятие  "Повышение уровня благоустройства наиболее посещаемых муниципальных территорий общего пользования города"</t>
  </si>
  <si>
    <t>13102L5550</t>
  </si>
  <si>
    <t>13201S0430</t>
  </si>
  <si>
    <t>Мероприятие  "Содержание объектов благоустройства"</t>
  </si>
  <si>
    <t>Уличное освещение в границах города</t>
  </si>
  <si>
    <t>Развитие и содержание сетей уличного освещения</t>
  </si>
  <si>
    <t>Озеленение территорий</t>
  </si>
  <si>
    <t>Содержание мест захоронения</t>
  </si>
  <si>
    <t>Ликвидация несанкционированных свалок</t>
  </si>
  <si>
    <t>Подпрограмма  "Формирование благоприятной социальной среды и развитие международных, межмуниципальных связей"</t>
  </si>
  <si>
    <t>Мероприятие  "Развитие международных и межмуниципальных связей"</t>
  </si>
  <si>
    <t xml:space="preserve">1240600000  </t>
  </si>
  <si>
    <t>Мероприятия по вовлечению молодежи в добровольческую деятельность</t>
  </si>
  <si>
    <t xml:space="preserve">1240620420  </t>
  </si>
  <si>
    <t>Проведение конкурсов, фестивалей, выставок для обучающейся молодежи</t>
  </si>
  <si>
    <t xml:space="preserve">1240620430  </t>
  </si>
  <si>
    <t>Именные стипендии Главы города</t>
  </si>
  <si>
    <t>340</t>
  </si>
  <si>
    <t>Стипендии</t>
  </si>
  <si>
    <t>Мероприятие  "Проведение общегородских мероприятий в области молодежной политики"</t>
  </si>
  <si>
    <t>Проведение мероприятий по профилактике безнадзорности и правонарушений несовершеннолетних</t>
  </si>
  <si>
    <t xml:space="preserve">Подпрограмма "Создание условий для организации досуга и обеспечения жителей города услугами организаций культуры" </t>
  </si>
  <si>
    <t>Проведение независимой оценки качества оказания услуг муниципальными учреждениями</t>
  </si>
  <si>
    <t>Проведение общегородских мероприятий</t>
  </si>
  <si>
    <t>310</t>
  </si>
  <si>
    <t>Публичные нормативные социальные выплаты гражданам</t>
  </si>
  <si>
    <t>Оказание адресной материальной помощи отдельным категориям граждан</t>
  </si>
  <si>
    <t>Субсидии социально ориентированным некоммерческим организациям в реализации ими целевых социальных проектов</t>
  </si>
  <si>
    <t>Субсидии некоммерческим организациям (за исключением государственных (муниципальных) учреждений)</t>
  </si>
  <si>
    <t>Мероприятие "Поощрение жителей города, добившихся значительных успехов в различных сферах деятельности"</t>
  </si>
  <si>
    <t>Поддержка средств массовой информации  города учредителем (соучредителем) которого является администрация города Торжка</t>
  </si>
  <si>
    <t xml:space="preserve">Поддержка средств массовой информации  города в отношении которых муниципальное образование город Торжок не является учредителем (соучредителем) </t>
  </si>
  <si>
    <t>Поддержка средств массовой информации  города учредителем (соучредителем) которого является администрация города Торжка на условиях софинансирования</t>
  </si>
  <si>
    <t xml:space="preserve">12403S0320  </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</si>
  <si>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</si>
  <si>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</si>
  <si>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деятельности органов местного самоуправления и учреждений, обеспечивающих их деятельность</t>
  </si>
  <si>
    <t>Глава муниципального образования</t>
  </si>
  <si>
    <t>Обеспечение деятельности исполнительно-распорядительного органа местного самоуправления на исполнение переданных государственных полномочий</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</si>
  <si>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</si>
  <si>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Проведение конкурсов "Лучший по профессии" и "Новотор года"</t>
  </si>
  <si>
    <t>Премии и гранты</t>
  </si>
  <si>
    <t>Организационное обеспечение проведения мероприятий с участием Главы города"</t>
  </si>
  <si>
    <t>Подпрограмма "Обеспечение безопасности территории города"</t>
  </si>
  <si>
    <t>Иные выплаты населению</t>
  </si>
  <si>
    <t>360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</si>
  <si>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</si>
  <si>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0105</t>
  </si>
  <si>
    <t>Судебная система</t>
  </si>
  <si>
    <t>Мероприятия, не включенные в муниципальные программы муниципального образования город Торжок</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</si>
  <si>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</si>
  <si>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учреждений, обеспечивающих деятельность органов местного самоуправления</t>
  </si>
  <si>
    <t>Расходы на выплаты персоналу казенных учреждений</t>
  </si>
  <si>
    <t>Осуществление государственных полномочий на государственную регистрацию актов гражданского состояния</t>
  </si>
  <si>
    <t>Резервный фонд администрации муниципального образования город Торжок</t>
  </si>
  <si>
    <t>870</t>
  </si>
  <si>
    <t>Резервные средства</t>
  </si>
  <si>
    <t>730</t>
  </si>
  <si>
    <t>Обеспечение деятельности  представительного органа местного самоуправления</t>
  </si>
  <si>
    <t>Председатель Торжокской городской Думы</t>
  </si>
  <si>
    <t>Обеспечение деятельности центрального аппарата Торжокской городской Думы</t>
  </si>
  <si>
    <t>Подпрограмма "Общее образование "</t>
  </si>
  <si>
    <t>Мероприятие "Оказание муниципальных услуг, выполнение работ муниципальными образовательными организациями, реализующими основные общеобразовательные программы"</t>
  </si>
  <si>
    <t>1110120010</t>
  </si>
  <si>
    <t>1110110740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</si>
  <si>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</si>
  <si>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Мероприятие "Организация питания учащихся начальных классов общеобразовательных учреждений"</t>
  </si>
  <si>
    <t>Организация обеспечения учащихся начальных классов муниципальных общеобразовательных учреждений горячим питанием на условиях софинансирования</t>
  </si>
  <si>
    <t xml:space="preserve">11103S0230  </t>
  </si>
  <si>
    <t>Мероприятие "Проведение капитального ремонта объектов недвижимого имущества и (или) особо ценного движимого имущества муниципальными образовательными организациями, реализующими основные общеобразовательные программы"</t>
  </si>
  <si>
    <t xml:space="preserve">11105S0440  </t>
  </si>
  <si>
    <t>Подпрограмма " Обеспечение безопасности муниципальных учреждений"</t>
  </si>
  <si>
    <t>Мероприятие  "Организация отдыха детей в каникулярное время "</t>
  </si>
  <si>
    <t xml:space="preserve">Софинансирование расходных обязательств по организации отдыха детей в каникулярное время </t>
  </si>
  <si>
    <t xml:space="preserve">11104S0240  </t>
  </si>
  <si>
    <t>Мероприятие  "Реализация механизмов развития  кадрового потенциала  образовательных организаций"</t>
  </si>
  <si>
    <t>Укрепление и развитие кадрового потенциала в системе образования, стимулирование высокого качества работы</t>
  </si>
  <si>
    <t>Мероприятие "Обеспечение мер социальной защиты в образовательных организациях, реализующих основные общеобразовательные программы"</t>
  </si>
  <si>
    <t>Муниципальная программа муниципального образования город Торжок "Развитие социальной  инфраструктуры города Торжка" на 2018  - 2023 годы</t>
  </si>
  <si>
    <t>Муниципальная программа муниципального образования город Торжок "Безопасный город" на 2018  - 2023 годы</t>
  </si>
  <si>
    <t>Мероприятие "Оказание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</si>
  <si>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Поощрение народных дружин, участвующих в охране общественного порядка </t>
  </si>
  <si>
    <t>Мероприятие "Оказание муниципальных услуг, выполнение работ муниципальными учреждениями в сфере предупреждения и ликвидации последствий чрезвычайных ситуаций"</t>
  </si>
  <si>
    <t>Муниципальная программа муниципального образования город Торжок "Развитие образования  города Торжка" на 2018  - 2023 годы</t>
  </si>
  <si>
    <t>Муниципальная программа муниципального образования город Торжок "Формирование современной  городской среды" на 2018  - 2023 годы</t>
  </si>
  <si>
    <t>Мероприятие  "Организация проведения на территории города  мероприятий по отлову и содержанию безнадзорных животных"</t>
  </si>
  <si>
    <t>Муниципальная программа муниципального образования город Торжок "Развитие транспортной и коммунальной инфраструктуры" на 2018  - 2023 годы</t>
  </si>
  <si>
    <t>Мероприятие  "Содержание объектов дорожного хозяйства"</t>
  </si>
  <si>
    <t>Мероприятие  "Проектирование, капитальный ремонт и ремонт автомобильных дорог общего пользования местного значения и искусственных сооружений на них"</t>
  </si>
  <si>
    <t>Мероприятие "Содержание и ремонт технических средств организации дорожного движения"</t>
  </si>
  <si>
    <t>Мероприятие "Оказание муниципальных услуг, выполнение работ муниципальными учреждениями в целях содействия развитию предпринимательства и туризма"</t>
  </si>
  <si>
    <t>Подпрограмма "Организация благоустройства территории города"</t>
  </si>
  <si>
    <t>Мероприятие  "Реализация проектов в рамках программы поддержки местных инициатив в Тверской области"</t>
  </si>
  <si>
    <r>
      <t>Мероприятие</t>
    </r>
    <r>
      <rPr>
        <b/>
        <sz val="12"/>
        <rFont val="Times New Roman"/>
        <family val="1"/>
        <charset val="204"/>
      </rPr>
      <t xml:space="preserve">  "</t>
    </r>
    <r>
      <rPr>
        <sz val="12"/>
        <rFont val="Times New Roman"/>
        <family val="1"/>
        <charset val="204"/>
      </rPr>
      <t>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r>
  </si>
  <si>
    <t>Подпрограмма "Организация библиотечного обслуживания населения"</t>
  </si>
  <si>
    <t xml:space="preserve">Мероприятие "Оказание муниципальных услуг, выполнение работ муниципальными библиотеками" </t>
  </si>
  <si>
    <t>Мероприятие  "Приобретение основных средств, не относящихся к объектам недвижимости, муниципальными библиотеками"</t>
  </si>
  <si>
    <t>Мероприятие  "Оказание муниципальных услуг, выполнение работ муниципальными учреждениями культурно-досугового типа"</t>
  </si>
  <si>
    <t>Мероприятие  "Проведение независимой оценки качества оказания услуг муниципальными учреждениями культуры"</t>
  </si>
  <si>
    <t>Мероприятие  "Проведение общегородских мероприятий в области культуры"</t>
  </si>
  <si>
    <t>Мероприятие "Поддержка отдельных категорий граждан"</t>
  </si>
  <si>
    <t>Мероприятие "Поддержка социально ориентированных некоммерческих организаций"</t>
  </si>
  <si>
    <t>Социальная поддержка лиц, удостоенных звания "Почетный гражданин города Торжка"</t>
  </si>
  <si>
    <t>Мероприятие "Поддержка средств массовой информации  города"</t>
  </si>
  <si>
    <t>Подпрограмма "Массовая физкультурно-спортивная работа"</t>
  </si>
  <si>
    <t>Мероприятие "Оказание муниципальных услуг, выполнение работ муниципальными учреждениями  спортивной направленности"</t>
  </si>
  <si>
    <t>Мероприятие "Возмещение недополученных доходов в связи с выполнением работ, оказанием услуг для льготной категории потребителей муниципальными учреждениями спортивной направленности"</t>
  </si>
  <si>
    <t xml:space="preserve">Возмещение недополученных доходов  </t>
  </si>
  <si>
    <t>Мероприятие "Организация и проведение спортивно-массовых мероприятий и соревнований"</t>
  </si>
  <si>
    <t>Участие спортсменов города в спортивно массовых мероприятиях всероссийского и регионального уровней</t>
  </si>
  <si>
    <t>Создание условий для внедрения Всероссийского физкультурно-спортивного комплекса Готов к труду и обороне (ГТО)</t>
  </si>
  <si>
    <t xml:space="preserve">1240620320  </t>
  </si>
  <si>
    <t>0705</t>
  </si>
  <si>
    <t xml:space="preserve">1240620440  </t>
  </si>
  <si>
    <t>Подпрограмма "Создание условий для эффективного функционирования исполнительных органов местного самоуправления"</t>
  </si>
  <si>
    <t xml:space="preserve">Информационно-справочное обеспечение  </t>
  </si>
  <si>
    <t>Мероприятие "Развитие кадрового потенциала исполнительных органов местного самоуправления"</t>
  </si>
  <si>
    <t>Мероприятие "Мониторинг социально-экономического развития муниципального образования"</t>
  </si>
  <si>
    <t>Повышение квалификации кадров</t>
  </si>
  <si>
    <t xml:space="preserve">Участие в работе общественных объединений и ассоциаций муниципальных образований </t>
  </si>
  <si>
    <t>Подпрограмма "Содействие развитию малого и среднего предпринимательства и туризма в городе"</t>
  </si>
  <si>
    <t>Подпрограмма "Развитие информационно-коммуникационной инфраструктуры органов местного самоуправления и муниципальных учреждений"</t>
  </si>
  <si>
    <t>Мероприятие "Обеспечение централизованного размещения городских информационных систем и ресурсов на базе муниципального казенного учреждения"</t>
  </si>
  <si>
    <t xml:space="preserve">Обеспечение программное прикладное для решения конкретных отраслевых задач, управления процессами организациии и услуги по его сопровождению </t>
  </si>
  <si>
    <t>Мероприятие "Обеспечение информационной безопасности  деятельности  органов местного самоуправления и муниципальных учреждений"</t>
  </si>
  <si>
    <t>Программные средства обеспечения информационной безопасности</t>
  </si>
  <si>
    <t>Мероприятие  "Приобретение основных средств, не относящихся к объектам недвижимости муниципальными организациями, реализующими программы дополнительного образования"</t>
  </si>
  <si>
    <t>Приобретение муниципальными учреждениями оборудования и других основных средств</t>
  </si>
  <si>
    <t>Мероприятие  "Реализация механизмов развития  потенциала обучающихся"</t>
  </si>
  <si>
    <t xml:space="preserve">11301S0660  </t>
  </si>
  <si>
    <t>Проведение олимпиад, конкурсов, фестивалей, выставок для обучающихся муниципальных образовательных учреждений</t>
  </si>
  <si>
    <t>Мероприятие "Приобретение основных средств, не относящихся к объектам недвижимости муниципальным учреждением, осуществляющим деятельность в сфере поддержки субъектов малого и среднего предпринимательства и развития туризма"</t>
  </si>
  <si>
    <t>Мероприятие "Проведение общегородских мероприятий в целях содействия развитию предпринимательства и туризма»</t>
  </si>
  <si>
    <t>Информационное, компьютерное и телекоммуникационное оборудование, системное программное обеспечение и офисные приложения</t>
  </si>
  <si>
    <t>Подпрограмма "Благоустройство дворовых и общественных территорий в целях реализации приоритетного проекта "Формирование комфортной городской среды"</t>
  </si>
  <si>
    <t>Мероприятие  "Организация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</si>
  <si>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11106S0440  </t>
  </si>
  <si>
    <t>Мероприятие  "Приобретение основных средств, не относящихся к объектам недвижимости муниципальными образовательными организациями, реализующими основные общеобразовательные программы"</t>
  </si>
  <si>
    <t>0108</t>
  </si>
  <si>
    <t xml:space="preserve"> Международные отношения и международное сотрудничество</t>
  </si>
  <si>
    <t>Международные отношения и международное сотрудничество</t>
  </si>
  <si>
    <t>Управление финансов администрации муниципального образования город Торжок</t>
  </si>
  <si>
    <t>Управление образования администрации города Торжка Тверской области</t>
  </si>
  <si>
    <t>Организационное обеспечение проведения мероприятий с участием Главы города</t>
  </si>
  <si>
    <t>Мероприятие "Установка (расширение) единых функциональных систем: охранной, пожарной сигнализации, системы видеонаблюдения, контроля доступа и иных аналогичных систем, включая работы по модернизации указанных систем"</t>
  </si>
  <si>
    <t>Организация отдыха детей в каникулярное время за счет субсидии из областного бюджета</t>
  </si>
  <si>
    <t>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t>
  </si>
  <si>
    <t>12101S0680</t>
  </si>
  <si>
    <t xml:space="preserve">12201S0680   </t>
  </si>
  <si>
    <t>11201S0690</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</si>
  <si>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</si>
  <si>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на условиях софинансирования</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</si>
  <si>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</si>
  <si>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Укрепление материально-технической базы муниципальных общеобразовательных учреждений на условиях софинансирования</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</si>
  <si>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за счет субсидии из областного бюджета</t>
  </si>
  <si>
    <t>Организация посещения обучающимися муниципальных общеобразовательных организаций  Тверского императорского дворца в рамках реализации проекта «Нас пригласили во дворец!» в части обеспечения подвоза обучающихся на условиях софинансирования</t>
  </si>
  <si>
    <t>Расходы на повышение заработной платы работникам муниципальных учреждений культуры  Тверской области на условиях софинансирования</t>
  </si>
  <si>
    <t>Расходы на повышение заработной платы работникам муниципальных учреждений культуры Тверской области за счет субсидии из областного бюджета</t>
  </si>
  <si>
    <r>
      <t>Реализация программ по поддержке местных инициатив на условиях софинансирования</t>
    </r>
    <r>
      <rPr>
        <i/>
        <sz val="12"/>
        <rFont val="Times New Roman"/>
        <family val="1"/>
        <charset val="204"/>
      </rPr>
      <t xml:space="preserve"> </t>
    </r>
  </si>
  <si>
    <t xml:space="preserve">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 </t>
  </si>
  <si>
    <t xml:space="preserve">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t>
  </si>
  <si>
    <t>Укрепление материально-технической базы муниципальных общеобразовательных учреждений за счет субсидии из областного бюджета</t>
  </si>
  <si>
    <t>Подпрограмма "Общее образование"</t>
  </si>
  <si>
    <t>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</si>
  <si>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Мероприятие "Устройство физкультурно-спортивных объектов"</t>
  </si>
  <si>
    <t xml:space="preserve">12305S0400  </t>
  </si>
  <si>
    <t>Приобретение и установка плоскостных спортивных сооружений и оборудования на плоскостные спортивные сооружения на условиях софинансирования</t>
  </si>
  <si>
    <t>Мероприятие  "Приобретение основных средств, не относящихся к объектам недвижимости муниципальными учреждениями культурно-досугового типа"</t>
  </si>
  <si>
    <t>16202S0290</t>
  </si>
  <si>
    <t xml:space="preserve">Обеспечение жилыми помещениями  малоимущих многодетных семей, нуждающихся в жилых помещениях на условиях софинансирования </t>
  </si>
  <si>
    <t xml:space="preserve">1110520020  </t>
  </si>
  <si>
    <t>Проведение капитального ремонта муниципальными учреждениями</t>
  </si>
  <si>
    <t xml:space="preserve">11202L5195  </t>
  </si>
  <si>
    <t>Укрепление материально-технической базы и оснащение оборудованием детских школ искусств</t>
  </si>
  <si>
    <t>0502</t>
  </si>
  <si>
    <t>Коммунальное хозяйство</t>
  </si>
  <si>
    <t>Подпрограмма "Развитие коммунальной инфраструктуры"</t>
  </si>
  <si>
    <t>Мероприятие  "Реализация мероприятий по проектированию, строительству и реконструкции объектов газоснабжения"</t>
  </si>
  <si>
    <t>14303S0100</t>
  </si>
  <si>
    <t>Расходы на исполнение судебных актов по обращению взыскания на средства местного бюджета</t>
  </si>
  <si>
    <t>830</t>
  </si>
  <si>
    <t>Исполнение судебных актов</t>
  </si>
  <si>
    <t>Развитие системы газоснабжения города на условиях софинансирования</t>
  </si>
  <si>
    <r>
      <t xml:space="preserve">Реализация программы формирования современной городской среды </t>
    </r>
    <r>
      <rPr>
        <i/>
        <sz val="12"/>
        <rFont val="Times New Roman"/>
        <family val="1"/>
        <charset val="204"/>
      </rPr>
      <t xml:space="preserve"> </t>
    </r>
  </si>
  <si>
    <r>
      <t xml:space="preserve">Реализация программы формирования современной городской среды </t>
    </r>
    <r>
      <rPr>
        <sz val="12"/>
        <color rgb="FFFF0000"/>
        <rFont val="Times New Roman"/>
        <family val="1"/>
        <charset val="204"/>
      </rPr>
      <t/>
    </r>
  </si>
  <si>
    <t xml:space="preserve">Реализация программы формирования современной городской среды </t>
  </si>
  <si>
    <t>Реализация мероприятий по обеспечению жильем молодых семей</t>
  </si>
  <si>
    <t xml:space="preserve">12404L4970  </t>
  </si>
  <si>
    <t>Оплата услуг привлеченных экспертов  экспертных организаций при осуществлении мероприятий внутреннего муниципального финансового контроля</t>
  </si>
  <si>
    <t>Поддержка средств массовой информации  города учредителем (соучредителем) которого является администрация города Торжка за счет субсидии из областного бюджета</t>
  </si>
  <si>
    <t>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t>
  </si>
  <si>
    <t>Реализация программ по поддержке местных инициатив  за счет субсидии из областного бюджета</t>
  </si>
  <si>
    <t xml:space="preserve">Капитальный ремонт и ремонт улично-дорожной сети города Торжка на условиях софинансирования </t>
  </si>
  <si>
    <t>14102S1050</t>
  </si>
  <si>
    <t>Капитальный ремонт и ремонт улично-дорожной сети города Торжка за счет субсидии из областного бюджета</t>
  </si>
  <si>
    <t>1110110200</t>
  </si>
  <si>
    <t>Расходы на повышение оплаты труда работникам муниципальных учреждений в связи с увеличением минимального размера оплаты труда за счет субсидии из областного бюджета</t>
  </si>
  <si>
    <t>1120110200</t>
  </si>
  <si>
    <t>11101S0200</t>
  </si>
  <si>
    <t>11201S0200</t>
  </si>
  <si>
    <t>15101S0200</t>
  </si>
  <si>
    <t>Расходы на повышение оплаты труда работникам муниципальных учреждений в связи с увеличением минимального размера оплаты труда на условиях софинансирования</t>
  </si>
  <si>
    <t>12301S0200</t>
  </si>
  <si>
    <t>Реализация проектов по благоустройству</t>
  </si>
  <si>
    <t>Мероприятие  "Приобретение основных средств, не относящихся к объектам недвижимости органами местного самоуправления"</t>
  </si>
  <si>
    <t>Приобретение оборудования и других основных средств органами местного самоуправления</t>
  </si>
  <si>
    <t>1520120180</t>
  </si>
  <si>
    <t>Установка (расширение) единых функциональных систем в мунниципальных учреждениях</t>
  </si>
  <si>
    <t>Благоустройство земельных участков</t>
  </si>
  <si>
    <t>1520220190</t>
  </si>
  <si>
    <t>Мероприятие "Благоустройство земельных участков с целью обеспечение  безопасности зданий, сооружений, территорий муниципальных учреждений"</t>
  </si>
  <si>
    <r>
      <t xml:space="preserve">Мероприятие </t>
    </r>
    <r>
      <rPr>
        <b/>
        <sz val="12"/>
        <rFont val="Times New Roman"/>
        <family val="1"/>
        <charset val="204"/>
      </rPr>
      <t>"</t>
    </r>
    <r>
      <rPr>
        <sz val="12"/>
        <rFont val="Times New Roman"/>
        <family val="1"/>
        <charset val="204"/>
      </rPr>
      <t>Благоустройство земельных участков с целью обеспечение  безопасности зданий, сооружений, территорий муниципальных учреждений"</t>
    </r>
  </si>
  <si>
    <t>Установка (расширение) единых функциональных систем в муниципальных учреждениях</t>
  </si>
  <si>
    <t>Реализация мероприятий по обращениям, поступающим к депутатам Торжокской городской Думы и Законодательного Собрания Тверской области</t>
  </si>
  <si>
    <t>Средства на реализацию мероприятий по обращениям, поступающим к депутатам Законодательного Собрания Тверской области</t>
  </si>
  <si>
    <t>Обеспечение жилыми помещениями  малоимущих многодетных семей, нуждающихся в жилых помещениях за счет субсидии из областного бюджета</t>
  </si>
  <si>
    <t>Развитие системы газоснабжения города за счет субсидии из областного бюджета</t>
  </si>
  <si>
    <t xml:space="preserve"> Адресная инвестиционная программа</t>
  </si>
  <si>
    <t>№ п/п</t>
  </si>
  <si>
    <t xml:space="preserve">Наименование </t>
  </si>
  <si>
    <t xml:space="preserve">Бюджетополучатель    </t>
  </si>
  <si>
    <t>Лимит местного бюджета (тыс. руб.)</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</si>
  <si>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</si>
  <si>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</si>
  <si>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</si>
  <si>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</si>
  <si>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</si>
  <si>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</si>
  <si>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</si>
  <si>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Строительство распределительного газопровода низкого давления по  ул. Пустынь и Соминка в городе Торжке</t>
  </si>
  <si>
    <t xml:space="preserve">администрация муниципального образования город Торжок </t>
  </si>
  <si>
    <t xml:space="preserve">2. </t>
  </si>
  <si>
    <t>2.1.</t>
  </si>
  <si>
    <t>2.2.1.</t>
  </si>
  <si>
    <t>Приобретение в муниципальную собственность жилых помещений</t>
  </si>
  <si>
    <t>2.2.</t>
  </si>
  <si>
    <t>Всего</t>
  </si>
  <si>
    <t xml:space="preserve">Осуществление отдельных государственных полномочий Тверской области по организации деятельности по накоплению (в том числе раздельному накоплению ), сбору, транспортированию, обработке, утилизации, обезвреживанию, захоронению твердых коммунальных отходов </t>
  </si>
  <si>
    <t>Приложение  1</t>
  </si>
  <si>
    <t>Источники  финансирования  дефицита  бюджета</t>
  </si>
  <si>
    <t>Код БК РФ</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</si>
  <si>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</si>
  <si>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</si>
  <si>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</si>
  <si>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</si>
  <si>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</si>
  <si>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</si>
  <si>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</si>
  <si>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</si>
  <si>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</si>
  <si>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</si>
  <si>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</si>
  <si>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</si>
  <si>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</si>
  <si>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</si>
  <si>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</si>
  <si>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</si>
  <si>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</si>
  <si>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</si>
  <si>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</si>
  <si>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</si>
  <si>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</si>
  <si>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</si>
  <si>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Проектирование, строительство и реконструкция объектов спортивной направленности</t>
  </si>
  <si>
    <t>3.</t>
  </si>
  <si>
    <t>3.1.</t>
  </si>
  <si>
    <t>3.1.1.</t>
  </si>
  <si>
    <t>Физкультурно-оздоровительный комплекс открытого вида</t>
  </si>
  <si>
    <t>Участие физических и юридических лиц в благоустройстве  территории города</t>
  </si>
  <si>
    <t>1.</t>
  </si>
  <si>
    <t>Привлечение заёмных средств :</t>
  </si>
  <si>
    <t>№
 п/п</t>
  </si>
  <si>
    <t>источники</t>
  </si>
  <si>
    <t>Бюджетные кредиты, полученные из областного бюджета</t>
  </si>
  <si>
    <t>ИТОГО:</t>
  </si>
  <si>
    <t>2. Погашение долговых обязательств:</t>
  </si>
  <si>
    <t>№ 
п/п</t>
  </si>
  <si>
    <t>долговые обязательства</t>
  </si>
  <si>
    <t>Кредитные соглашения и договоры заключённые от имени муниципального образования</t>
  </si>
  <si>
    <t>в том числе:</t>
  </si>
  <si>
    <t>с Министерством финансов Тверской области</t>
  </si>
  <si>
    <t>бюджетные кредиты, полученные  за счет средств федерального бюджета на пополнение остатков средств на счетах местных бюджетов</t>
  </si>
  <si>
    <t>Бюджетные кредиты, полученные  за счет средств федерального бюджета на пополнение остатков средств на счетах местных бюджетов</t>
  </si>
  <si>
    <t>Получение кредитов за счет средств федерального бюджета на пополнение остатков средств на счетах местных бюджетов</t>
  </si>
  <si>
    <t>000 01 03 01 00 04 0001 810</t>
  </si>
  <si>
    <t>Погашение бюджетных кредитов, полученных за счет средств федерального бюджета на пополнение остатков средств на счетах местных бюджетов</t>
  </si>
  <si>
    <t>000 01 03 01 00 04 0002 710</t>
  </si>
  <si>
    <t>000 01 03 01 00 04 0002 810</t>
  </si>
  <si>
    <t>Иные закупки товаров, работ и услуг для обеспечения
государственных (муниципальных) нужд</t>
  </si>
  <si>
    <t>Профессиональная подготовка, переподготовка и повышение квалификации</t>
  </si>
  <si>
    <t xml:space="preserve"> Расходы на выплаты персоналу государственных
(муниципальных) органов</t>
  </si>
  <si>
    <t>Предоставление платежей, взносов, безвозмездных
перечислений субъектам международного права</t>
  </si>
  <si>
    <t>131П21311F</t>
  </si>
  <si>
    <t>Реализация проекта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</si>
  <si>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Проектирование, строительство и реконструкция объектов</t>
  </si>
  <si>
    <t>Наименование публичного нормативного обязательства</t>
  </si>
  <si>
    <t>Реквизиты нормативного правового акта</t>
  </si>
  <si>
    <t>Код расходов по БК</t>
  </si>
  <si>
    <t>вид</t>
  </si>
  <si>
    <t>дата</t>
  </si>
  <si>
    <t>номер</t>
  </si>
  <si>
    <t>наименование</t>
  </si>
  <si>
    <t>ЦСР</t>
  </si>
  <si>
    <t>Решение</t>
  </si>
  <si>
    <t>26.06.2013</t>
  </si>
  <si>
    <t>186</t>
  </si>
  <si>
    <t>Об утверждении Положения об именных стипендиях Главы города Торжка</t>
  </si>
  <si>
    <t>23.09.2010</t>
  </si>
  <si>
    <t>334</t>
  </si>
  <si>
    <t>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</si>
  <si>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24.04.2014</t>
  </si>
  <si>
    <t>248</t>
  </si>
  <si>
    <t>О Положении о звании "Почетный гражданин города Торжка"</t>
  </si>
  <si>
    <t>Итого:</t>
  </si>
  <si>
    <t>Мероприятие  "Проведение капитального ремонта объектов недвижимого имущества и (или) особо ценного движимого имущества муниципальными учреждениями культурно-досугового типа"</t>
  </si>
  <si>
    <t>850</t>
  </si>
  <si>
    <t>99903S0200</t>
  </si>
  <si>
    <t>99902S0200</t>
  </si>
  <si>
    <t>99901S0200</t>
  </si>
  <si>
    <t>Комплектование книжных фондов муниципальных библиотек</t>
  </si>
  <si>
    <t>Утверждено решением о бюджете</t>
  </si>
  <si>
    <t xml:space="preserve">тыс. руб. </t>
  </si>
  <si>
    <t>Кассовое исполнение</t>
  </si>
  <si>
    <t xml:space="preserve">Распределение бюджетных ассигнований  бюджета 		
муниципального образования город Торжок  по разделам и подразделам классификации		
расходов бюджетов за 2018 год </t>
  </si>
  <si>
    <t xml:space="preserve">Ведомственная структура расходов бюджета муниципального образования  город Торжок  
за 2018 год </t>
  </si>
  <si>
    <t>тыс. руб.</t>
  </si>
  <si>
    <t xml:space="preserve">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2018 год </t>
  </si>
  <si>
    <r>
      <t xml:space="preserve">Распределение бюджетных ассигнований </t>
    </r>
    <r>
      <rPr>
        <b/>
        <sz val="12"/>
        <color rgb="FFFF0000"/>
        <rFont val="Times New Roman"/>
        <family val="1"/>
        <charset val="204"/>
      </rPr>
      <t xml:space="preserve"> </t>
    </r>
    <r>
      <rPr>
        <b/>
        <sz val="12"/>
        <color rgb="FF000000"/>
        <rFont val="Times New Roman"/>
        <family val="1"/>
        <charset val="204"/>
      </rPr>
      <t xml:space="preserve">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2018 год </t>
    </r>
  </si>
  <si>
    <t xml:space="preserve">Общий объем бюджетных ассигнований, направляемых  на исполнение публичных нормативных обязательств муниципального образования город Торжок за 2018 год </t>
  </si>
  <si>
    <t xml:space="preserve">муниципального образования город Торжок за 2018 год </t>
  </si>
  <si>
    <r>
      <t xml:space="preserve">ПРОГРАММА
муниципальных </t>
    </r>
    <r>
      <rPr>
        <b/>
        <sz val="12"/>
        <color theme="1"/>
        <rFont val="Times New Roman"/>
        <family val="1"/>
        <charset val="204"/>
      </rPr>
      <t>внутренних</t>
    </r>
    <r>
      <rPr>
        <b/>
        <sz val="12"/>
        <color rgb="FFFF0000"/>
        <rFont val="Times New Roman"/>
        <family val="1"/>
        <charset val="204"/>
      </rPr>
      <t xml:space="preserve"> </t>
    </r>
    <r>
      <rPr>
        <b/>
        <sz val="12"/>
        <rFont val="Times New Roman"/>
        <family val="1"/>
        <charset val="204"/>
      </rPr>
      <t xml:space="preserve">заимствований муниципального образования город Торжок  за 2018 год 
</t>
    </r>
  </si>
  <si>
    <t>к решению Торжокской городской Думы</t>
  </si>
  <si>
    <t>Источники  финансирования  дефицита  бюджета муниципального образования город Торжок</t>
  </si>
  <si>
    <t>Код бюджетной классификации</t>
  </si>
  <si>
    <t>администратора источника финансирования</t>
  </si>
  <si>
    <t>источника финансирования</t>
  </si>
  <si>
    <t>Управление финансов администрации города Торжка</t>
  </si>
  <si>
    <t xml:space="preserve"> 01 03 01 00 04 0000 810</t>
  </si>
  <si>
    <t xml:space="preserve"> 01 05 02 01 04 0000 510</t>
  </si>
  <si>
    <t xml:space="preserve"> 01 05 02 01 04 0000 610</t>
  </si>
  <si>
    <t xml:space="preserve">по кодам классификации источников финансирования дефицитов бюджетов  за 2018 год </t>
  </si>
  <si>
    <t>к   решению Торжокской городской Думы</t>
  </si>
  <si>
    <t xml:space="preserve">Поступление доходов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за 2018 год </t>
  </si>
  <si>
    <t>Код классификации Российской Федерации</t>
  </si>
  <si>
    <t>Наименование дохода</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</si>
  <si>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</si>
  <si>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</si>
  <si>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</si>
  <si>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</si>
  <si>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</si>
  <si>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</si>
  <si>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</si>
  <si>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</si>
  <si>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</si>
  <si>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</si>
  <si>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</si>
  <si>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</si>
  <si>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</si>
  <si>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</si>
  <si>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</si>
  <si>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</si>
  <si>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</si>
  <si>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</si>
  <si>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</si>
  <si>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</si>
  <si>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</si>
  <si>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</si>
  <si>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1 1 03 02260 01 0000 110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</si>
  <si>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</si>
  <si>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</si>
  <si>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</si>
  <si>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</si>
  <si>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</si>
  <si>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</si>
  <si>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000 1 05 03000 01 0000 110</t>
  </si>
  <si>
    <t>Единый сельскохозяйственный налог</t>
  </si>
  <si>
    <t>000 1 05 03010 01 0000 110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</si>
  <si>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</si>
  <si>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</si>
  <si>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</si>
  <si>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</si>
  <si>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</si>
  <si>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</si>
  <si>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</si>
  <si>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</si>
  <si>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</si>
  <si>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</si>
  <si>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</si>
  <si>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</si>
  <si>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</si>
  <si>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</si>
  <si>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</si>
  <si>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</si>
  <si>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</si>
  <si>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</si>
  <si>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</si>
  <si>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</si>
  <si>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</si>
  <si>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</si>
  <si>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</si>
  <si>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</si>
  <si>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</si>
  <si>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</si>
  <si>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</si>
  <si>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</si>
  <si>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</si>
  <si>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</si>
  <si>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</si>
  <si>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</si>
  <si>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</si>
  <si>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</si>
  <si>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</si>
  <si>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</si>
  <si>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</si>
  <si>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</si>
  <si>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</si>
  <si>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</si>
  <si>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</si>
  <si>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</si>
  <si>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</si>
  <si>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</si>
  <si>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</si>
  <si>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</si>
  <si>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</si>
  <si>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</si>
  <si>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</si>
  <si>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</si>
  <si>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</si>
  <si>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</si>
  <si>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</si>
  <si>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</si>
  <si>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</si>
  <si>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</si>
  <si>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</si>
  <si>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</si>
  <si>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</si>
  <si>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</si>
  <si>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</si>
  <si>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</si>
  <si>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</si>
  <si>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</si>
  <si>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</si>
  <si>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 xml:space="preserve">Плата за размещение отходов производства
</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</si>
  <si>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</si>
  <si>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</si>
  <si>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</si>
  <si>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</si>
  <si>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</si>
  <si>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</si>
  <si>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</si>
  <si>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</si>
  <si>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</si>
  <si>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</si>
  <si>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</si>
  <si>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</si>
  <si>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</si>
  <si>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</si>
  <si>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</si>
  <si>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</si>
  <si>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</si>
  <si>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</si>
  <si>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</si>
  <si>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</si>
  <si>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</si>
  <si>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</si>
  <si>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</si>
  <si>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</si>
  <si>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</si>
  <si>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</si>
  <si>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</si>
  <si>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</si>
  <si>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</si>
  <si>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</si>
  <si>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</si>
  <si>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</si>
  <si>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</si>
  <si>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</si>
  <si>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</si>
  <si>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</si>
  <si>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</si>
  <si>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</si>
  <si>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</si>
  <si>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</si>
  <si>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</si>
  <si>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</si>
  <si>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</si>
  <si>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</si>
  <si>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</si>
  <si>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</si>
  <si>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 xml:space="preserve">000 1 16 30030 01 0000 140
</t>
  </si>
  <si>
    <t>Прочие денежные взыскания (штрафы) за правонарушения в области дорожного движения</t>
  </si>
  <si>
    <t xml:space="preserve">000 1 16 33000 00 0000 140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</si>
  <si>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</si>
  <si>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000 1 16 33040 04 0000 140
</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</si>
  <si>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</si>
  <si>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</si>
  <si>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</si>
  <si>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</si>
  <si>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</si>
  <si>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</si>
  <si>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</si>
  <si>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</si>
  <si>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</si>
  <si>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</si>
  <si>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</si>
  <si>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</si>
  <si>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</si>
  <si>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</si>
  <si>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</si>
  <si>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</si>
  <si>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</si>
  <si>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</si>
  <si>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 xml:space="preserve">000 2 02 10000 00 0000 151
</t>
  </si>
  <si>
    <t xml:space="preserve">000 2 02 15311 00 0000 151 </t>
  </si>
  <si>
    <t xml:space="preserve">000 2 02 15311 04 0000 151 </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</si>
  <si>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</si>
  <si>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000 2 02 20000 00 0000 151</t>
  </si>
  <si>
    <t>Субсидии бюджетам бюджетной системы Российской Федерации (межбюджетные субсидии)</t>
  </si>
  <si>
    <t>000 2 02 29999 00 0000 151</t>
  </si>
  <si>
    <t>Прочие субсидии</t>
  </si>
  <si>
    <t>000 2 02 29999 04 0000 151</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</si>
  <si>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</si>
  <si>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</si>
  <si>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</si>
  <si>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Субсидии на повышение заработной платы педагогическим работникам муниципальных организаций дополнительного образования</t>
  </si>
  <si>
    <t>Субсидии на повышение заработной платы работникам муниципальных учреждений культуры Тверской области</t>
  </si>
  <si>
    <t>Субсидии на укрепление материально-технической базы муниципальных общеобразовательных организаций</t>
  </si>
  <si>
    <t>000 2 02 29999 04 2223 151</t>
  </si>
  <si>
    <t>Субсидии на повышение оплаты труда работникам муниципальных учреждений в связи с увеличением минимального размера оплаты труда</t>
  </si>
  <si>
    <t>000  2 02 29999 04 2049 151</t>
  </si>
  <si>
    <t>Субсидии на поддержку редакций районных и городских газет</t>
  </si>
  <si>
    <t>000  2 02 29999 04 9000 151</t>
  </si>
  <si>
    <t>Субсидии на реализацию программ по поддержке местных инициатив в Тверской области на территории городских округов Тверской области</t>
  </si>
  <si>
    <t>000 2 02 29999 04 2075 151</t>
  </si>
  <si>
    <t>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</si>
  <si>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000 2 02 29999 04 2045 151</t>
  </si>
  <si>
    <t>Субсидии на обеспечение жилыми помещениями малоимущих многодетных семей, нуждающихся в жилых помещениях</t>
  </si>
  <si>
    <t>000 2 02 20216 04 2224 151</t>
  </si>
  <si>
    <t>Субсидии на капитальный ремонт и ремонт улично-дорожной сети муниципальных образований Тверской области</t>
  </si>
  <si>
    <t>000 2 02 25497 04 0000 151</t>
  </si>
  <si>
    <t>Субсидии бюджетам городских округов на реализацию мероприятий по обеспечению жильем молодых семей</t>
  </si>
  <si>
    <t xml:space="preserve">000 2 02 25555 04 0000 151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</si>
  <si>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</si>
  <si>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000 2 02 20077 04 0000 151
</t>
  </si>
  <si>
    <t>Субсидии на развитие системы газоснабжения населенных пунктов Тверской области</t>
  </si>
  <si>
    <t>000 2 02 25519 04 000 151</t>
  </si>
  <si>
    <t xml:space="preserve">Субсидия бюджетам городских округов на поддержку отрасли культуры
</t>
  </si>
  <si>
    <t>000 2 02 30000 00 0000 151</t>
  </si>
  <si>
    <t>Субвенции бюджетам бюджетной системы Российской Федерации</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</si>
  <si>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</si>
  <si>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</si>
  <si>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</si>
  <si>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</si>
  <si>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</si>
  <si>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</si>
  <si>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</si>
  <si>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</si>
  <si>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</si>
  <si>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</si>
  <si>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</si>
  <si>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</si>
  <si>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</si>
  <si>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</si>
  <si>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</si>
  <si>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</si>
  <si>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</si>
  <si>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</si>
  <si>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</si>
  <si>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</si>
  <si>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</si>
  <si>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</si>
  <si>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</si>
  <si>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Тверской области</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</si>
  <si>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</si>
  <si>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</si>
  <si>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</si>
  <si>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</si>
  <si>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</si>
  <si>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</si>
  <si>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</si>
  <si>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</si>
  <si>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</si>
  <si>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</si>
  <si>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</si>
  <si>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</si>
  <si>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000 2 04 04099 04 0000 180</t>
  </si>
  <si>
    <t>Прочие безвозмездные поступления от негосударственных организаций в бюджеты городских округов*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</si>
  <si>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</si>
  <si>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</si>
  <si>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</si>
  <si>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</si>
  <si>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</si>
  <si>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000 2 19 00000 00 0000 000</t>
  </si>
  <si>
    <t>ВОЗВРАТ ОСТАТКОВ СУБСИДИЙ, СУБВЕНЦИЙ И ИНЫХ МЕЖБЮДЖЕТНЫХ ТРАНСФЕРТОВ, ИМЕЮЩИХ ЦЕЛЕВОЕ НАЗНАЧЕНИЕ, ПРОШЛЫХ ЛЕТ</t>
  </si>
  <si>
    <t>000 2 19 60010 04 0000 151</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</si>
  <si>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</si>
  <si>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ИТОГО ДОХОДОВ</t>
  </si>
  <si>
    <t>Код администратора доходов</t>
  </si>
  <si>
    <t>Наименование кода классификации доходов</t>
  </si>
  <si>
    <t>Код классификации доходов</t>
  </si>
  <si>
    <t>Исполнено,  тыс.руб.</t>
  </si>
  <si>
    <t>0 0 1</t>
  </si>
  <si>
    <t>Прочие доходы от компенсации затрат бюджетов городских округов</t>
  </si>
  <si>
    <t>001 113 02994 04 0000 130</t>
  </si>
  <si>
    <t>001 116 37030 04 0000 140</t>
  </si>
  <si>
    <t>001 116 51020 02 0000 140</t>
  </si>
  <si>
    <t>001 116 90040 04 0000 140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</si>
  <si>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</si>
  <si>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001 204 04099 04 0000 180</t>
  </si>
  <si>
    <t>Прочие безвозмездные поступления в бюджеты городских округов при реализации программ по поддержке местных инициатив</t>
  </si>
  <si>
    <t>001 207 04050 04 0000 180</t>
  </si>
  <si>
    <t>001 219 60010 04 0000 151</t>
  </si>
  <si>
    <t>0 0 2</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</si>
  <si>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</si>
  <si>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</si>
  <si>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</si>
  <si>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0 0 5</t>
  </si>
  <si>
    <t>005 111 05012 04 0000 120</t>
  </si>
  <si>
    <t>005 111 05024 04 0000 120</t>
  </si>
  <si>
    <t>005 111 05074 04 0000 120</t>
  </si>
  <si>
    <t>005 111 07014 04 0000 120</t>
  </si>
  <si>
    <t>005 111 09044 04 0000 120</t>
  </si>
  <si>
    <t>005 113 01994 04 0000 130</t>
  </si>
  <si>
    <t>005 114 02043 04 0000 410</t>
  </si>
  <si>
    <t>005 114 06012 04 0000 430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</si>
  <si>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</si>
  <si>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005 116 33040 04 0000 140</t>
  </si>
  <si>
    <t>005 116 90040 04 0000 140</t>
  </si>
  <si>
    <t xml:space="preserve">0 1 1 </t>
  </si>
  <si>
    <t>011 219 60010 04 0000 151</t>
  </si>
  <si>
    <t>017</t>
  </si>
  <si>
    <t>Главное управление "Государственная жилищная инспекция" Тверской области</t>
  </si>
  <si>
    <t>017 116 90040 04 0000 140</t>
  </si>
  <si>
    <t xml:space="preserve">0 4 8 </t>
  </si>
  <si>
    <t>Федеральная служба по надзору в сфере природопользования</t>
  </si>
  <si>
    <t>048 112 01010 01 0000 120</t>
  </si>
  <si>
    <t>048 112 01030 01 0000 120</t>
  </si>
  <si>
    <t>Плата за размещение отходов производства</t>
  </si>
  <si>
    <t>048 112 01041 01 0000 120</t>
  </si>
  <si>
    <t>0 8 6</t>
  </si>
  <si>
    <t>Главное управление "Государственная инспекция по ветеринарии" Тверской области</t>
  </si>
  <si>
    <t>086 116 90040 04 0000 140</t>
  </si>
  <si>
    <t>1 0 0</t>
  </si>
  <si>
    <t>Федеральное казначейство</t>
  </si>
  <si>
    <t>100 103 02230 01 0000 110</t>
  </si>
  <si>
    <t>100 103 02240 01 0000 110</t>
  </si>
  <si>
    <t>100 103 02250 01 0000 110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</si>
  <si>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</si>
  <si>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100 103 02260 01 0000 110</t>
  </si>
  <si>
    <t>1 4 1</t>
  </si>
  <si>
    <t>Федеральная служба по надзору в сфере защиты прав потребителей и благополучия человека</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</si>
  <si>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</si>
  <si>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141 116 25050 01 0000 140</t>
  </si>
  <si>
    <t>141 116 28000 01 0000 140</t>
  </si>
  <si>
    <t>141 116 90040 04 0000 140</t>
  </si>
  <si>
    <t>1 6 1</t>
  </si>
  <si>
    <t>Федеральная антимонопольная служба</t>
  </si>
  <si>
    <t>161 116 33040 04 0000 140</t>
  </si>
  <si>
    <t>1 8 2</t>
  </si>
  <si>
    <t>Федеральная налоговая служба</t>
  </si>
  <si>
    <t>182 101 02010 01 0000 110</t>
  </si>
  <si>
    <t>182 101 02020 01 0000 110</t>
  </si>
  <si>
    <t>182 101 02030 01 0000 110</t>
  </si>
  <si>
    <t>182 105 02010 02 0000 110</t>
  </si>
  <si>
    <t>Единый налог на вмененный доход для отдельных видов деятельности (за налоговые периоды, истекшие до 1 января 2011 года)</t>
  </si>
  <si>
    <t>182 105 02020 02 0000 110</t>
  </si>
  <si>
    <t>182 105 03010 01 0000 110</t>
  </si>
  <si>
    <t>182 105 04010 02 0000 110</t>
  </si>
  <si>
    <t>182 106 01020 04 0000 110</t>
  </si>
  <si>
    <t>182 106 06032 04 0000 110</t>
  </si>
  <si>
    <t>182 106 06042 04 0000 110</t>
  </si>
  <si>
    <t>182 108 03010 01 0000 110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</si>
  <si>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</si>
  <si>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182 116 03010 01 0000 140</t>
  </si>
  <si>
    <t>182 116 03030 01 0000 140</t>
  </si>
  <si>
    <t>182 116 06000 01 0000 140</t>
  </si>
  <si>
    <t xml:space="preserve">1 8 8 </t>
  </si>
  <si>
    <t>Министерство внутренних дел Российской Федерации</t>
  </si>
  <si>
    <t>188 116 08010 01 6000 140</t>
  </si>
  <si>
    <t>188 116 08020 01 0000 140</t>
  </si>
  <si>
    <t>188 116 30030 01 6000 140</t>
  </si>
  <si>
    <t>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</si>
  <si>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188 116 43000 01 0000 140</t>
  </si>
  <si>
    <t>188 116 90040 04 6000 140</t>
  </si>
  <si>
    <t xml:space="preserve">2 4 5 </t>
  </si>
  <si>
    <t>Главное управление "Государственная инспекция по надзору за техническим состоянием самоходных машин и других видов техники" Тверской области</t>
  </si>
  <si>
    <t>245 116 90040 04 0000 140</t>
  </si>
  <si>
    <t xml:space="preserve">3 2 1 </t>
  </si>
  <si>
    <t>Федеральная служба государственной регистрации, кадастра и картографии</t>
  </si>
  <si>
    <t>321 116 25060 01 0000 140</t>
  </si>
  <si>
    <t>Приложение 3</t>
  </si>
  <si>
    <t xml:space="preserve">к решению Торжокской городской Думы </t>
  </si>
  <si>
    <t xml:space="preserve">Приложение 10  </t>
  </si>
  <si>
    <t xml:space="preserve">к решению Торжокской городской Думы                 </t>
  </si>
  <si>
    <t>Приложение 11</t>
  </si>
  <si>
    <t xml:space="preserve">Приложение 2  </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</si>
  <si>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</si>
  <si>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бюджета муниципального образования город Торжок за 2018 год по кодам классификации доходов бюджетов</t>
  </si>
  <si>
    <t>002 113 02994 04 0000 130</t>
  </si>
  <si>
    <t xml:space="preserve">002 2 02 15311 04 0000 151 </t>
  </si>
  <si>
    <t xml:space="preserve">002 2 02 20077 04 0000 151
</t>
  </si>
  <si>
    <t>002 202 20216 04 0000 151</t>
  </si>
  <si>
    <t>002 2 02 25497 04 0000 151</t>
  </si>
  <si>
    <t xml:space="preserve">002 2 02 25555 04 0000 151
</t>
  </si>
  <si>
    <t>002 202 29999 04 0000 151</t>
  </si>
  <si>
    <t>002 2 02 30029 04 0000 151</t>
  </si>
  <si>
    <t>002 2 02 35082 04 0000 151</t>
  </si>
  <si>
    <t>002 2 02 39999 04 0000 151</t>
  </si>
  <si>
    <t>002 2 02 35120 04 0000 151</t>
  </si>
  <si>
    <t>002 202 35930 04 0000 151</t>
  </si>
  <si>
    <t>002 202 39999 04 0000 151</t>
  </si>
  <si>
    <t>002 202 49999 04 0000 151</t>
  </si>
  <si>
    <t>141 116 08010 01 0000 140</t>
  </si>
  <si>
    <t>141 116 08020 01 0000 140</t>
  </si>
  <si>
    <t>Дотации бюджетам бюджетной системы Российской Федерации 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</si>
  <si>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Дотации бюджетам бюджетной системы Российской Федерации</t>
  </si>
  <si>
    <t>Министерство Тверской области по обеспечению контрольных функций</t>
  </si>
  <si>
    <t>332 116 33040 04 0000 140</t>
  </si>
  <si>
    <t xml:space="preserve"> 01 03 01 00 04 0002 710</t>
  </si>
  <si>
    <t xml:space="preserve"> 01 03 01 00 04 0002 810</t>
  </si>
  <si>
    <t>011 113 01994 04 0000 130</t>
  </si>
  <si>
    <t>Приложение 4</t>
  </si>
  <si>
    <t xml:space="preserve">  от 28.05.2019  № 198</t>
  </si>
  <si>
    <t>от 28.05.2019  № 198</t>
  </si>
  <si>
    <t>от 28.05.2019 № 198</t>
  </si>
  <si>
    <t>3 3 2</t>
  </si>
  <si>
    <t>Приложение 5
к решению Торжокской городской Думы
от 28.05.2019  № 198</t>
  </si>
  <si>
    <t>Приложение 6 
к решению Торжокской городской Думы
от 28.05.2019  № 198</t>
  </si>
  <si>
    <t>Приложение 7  
к решению Торжокской городской Думы
от 28.05.2019  № 198</t>
  </si>
  <si>
    <t>Приложение 8 
к решению Торжокской городской 
от 28.05.2019  № 198</t>
  </si>
  <si>
    <t>Приложение 9
к решению Торжокской городской Думы
от 28.05.2019  № 198</t>
  </si>
</sst>
</file>

<file path=xl/styles.xml><?xml version="1.0" encoding="utf-8"?>
<styleSheet xmlns="http://schemas.openxmlformats.org/spreadsheetml/2006/main">
  <numFmts count="5">
    <numFmt numFmtId="164" formatCode="_-* #,##0.00&quot;р.&quot;_-;\-* #,##0.00&quot;р.&quot;_-;_-* &quot;-&quot;??&quot;р.&quot;_-;_-@_-"/>
    <numFmt numFmtId="165" formatCode="_-* #,##0.00_р_._-;\-* #,##0.00_р_._-;_-* &quot;-&quot;??_р_._-;_-@_-"/>
    <numFmt numFmtId="166" formatCode="0.0"/>
    <numFmt numFmtId="167" formatCode="#,##0.0"/>
    <numFmt numFmtId="168" formatCode="_-* #,##0_р_._-;\-* #,##0_р_._-;_-* &quot;-&quot;_р_._-;_-@_-"/>
  </numFmts>
  <fonts count="39">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Cyr"/>
      <charset val="204"/>
    </font>
    <font>
      <sz val="12"/>
      <name val="Times New Roman"/>
      <family val="1"/>
      <charset val="204"/>
    </font>
    <font>
      <sz val="11"/>
      <color theme="1"/>
      <name val="Calibri"/>
      <family val="2"/>
      <charset val="204"/>
      <scheme val="minor"/>
    </font>
    <font>
      <sz val="10"/>
      <color rgb="FF000000"/>
      <name val="Times New Roman"/>
      <family val="1"/>
      <charset val="204"/>
    </font>
    <font>
      <sz val="12"/>
      <color rgb="FF000000"/>
      <name val="Times New Roman"/>
      <family val="1"/>
      <charset val="204"/>
    </font>
    <font>
      <sz val="10"/>
      <color rgb="FF000000"/>
      <name val="Times New Roman"/>
      <family val="1"/>
      <charset val="204"/>
    </font>
    <font>
      <sz val="12"/>
      <color indexed="8"/>
      <name val="Times New Roman"/>
      <family val="1"/>
      <charset val="204"/>
    </font>
    <font>
      <b/>
      <sz val="12"/>
      <name val="Times New Roman"/>
      <family val="1"/>
      <charset val="204"/>
    </font>
    <font>
      <b/>
      <sz val="12"/>
      <color rgb="FF000000"/>
      <name val="Times New Roman"/>
      <family val="1"/>
      <charset val="204"/>
    </font>
    <font>
      <sz val="12"/>
      <color theme="3" tint="0.39997558519241921"/>
      <name val="Times New Roman"/>
      <family val="1"/>
      <charset val="204"/>
    </font>
    <font>
      <b/>
      <sz val="12"/>
      <color rgb="FFFF0000"/>
      <name val="Times New Roman"/>
      <family val="1"/>
      <charset val="204"/>
    </font>
    <font>
      <sz val="12"/>
      <color rgb="FFFF0000"/>
      <name val="Times New Roman"/>
      <family val="1"/>
      <charset val="204"/>
    </font>
    <font>
      <i/>
      <sz val="12"/>
      <name val="Times New Roman"/>
      <family val="1"/>
      <charset val="204"/>
    </font>
    <font>
      <sz val="12"/>
      <color theme="1"/>
      <name val="Times New Roman"/>
      <family val="1"/>
      <charset val="204"/>
    </font>
    <font>
      <b/>
      <sz val="12"/>
      <color theme="1"/>
      <name val="Times New Roman"/>
      <family val="1"/>
      <charset val="204"/>
    </font>
    <font>
      <sz val="14"/>
      <name val="Times New Roman"/>
      <family val="1"/>
      <charset val="204"/>
    </font>
    <font>
      <sz val="13"/>
      <name val="Times New Roman"/>
      <family val="1"/>
      <charset val="204"/>
    </font>
    <font>
      <b/>
      <sz val="13"/>
      <name val="Times New Roman"/>
      <family val="1"/>
      <charset val="204"/>
    </font>
    <font>
      <sz val="12"/>
      <name val="Arial Cyr"/>
      <charset val="204"/>
    </font>
    <font>
      <sz val="12"/>
      <color rgb="FFC0000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6">
    <xf numFmtId="0" fontId="0" fillId="0" borderId="0">
      <alignment wrapText="1"/>
    </xf>
    <xf numFmtId="0" fontId="19" fillId="0" borderId="0"/>
    <xf numFmtId="0" fontId="19" fillId="0" borderId="0"/>
    <xf numFmtId="0" fontId="21" fillId="0" borderId="0"/>
    <xf numFmtId="165" fontId="19"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8" fillId="0" borderId="0"/>
    <xf numFmtId="0" fontId="16" fillId="0" borderId="0"/>
    <xf numFmtId="164" fontId="22" fillId="0" borderId="0">
      <alignment vertical="top" wrapText="1"/>
    </xf>
    <xf numFmtId="164" fontId="24" fillId="0" borderId="0">
      <alignment vertical="top"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0" fontId="11" fillId="0" borderId="0"/>
    <xf numFmtId="0" fontId="18" fillId="0" borderId="0"/>
    <xf numFmtId="164" fontId="22" fillId="0" borderId="0">
      <alignment vertical="top" wrapText="1"/>
    </xf>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34" fillId="0" borderId="0">
      <alignment horizontal="justify" vertical="top" wrapText="1"/>
    </xf>
    <xf numFmtId="164" fontId="18" fillId="0" borderId="0" applyFont="0" applyFill="0" applyBorder="0" applyAlignment="0" applyProtection="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 fillId="0" borderId="0"/>
    <xf numFmtId="0" fontId="1" fillId="0" borderId="0"/>
    <xf numFmtId="0" fontId="1" fillId="0" borderId="0"/>
    <xf numFmtId="0" fontId="18" fillId="0" borderId="0"/>
    <xf numFmtId="0" fontId="18" fillId="0" borderId="0"/>
  </cellStyleXfs>
  <cellXfs count="372">
    <xf numFmtId="0" fontId="0" fillId="0" borderId="0" xfId="0">
      <alignment wrapText="1"/>
    </xf>
    <xf numFmtId="49" fontId="25"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justify" vertical="center" wrapText="1"/>
    </xf>
    <xf numFmtId="49" fontId="20" fillId="0" borderId="1" xfId="0" applyNumberFormat="1" applyFont="1" applyFill="1" applyBorder="1" applyAlignment="1">
      <alignment horizontal="center" vertical="center" wrapText="1"/>
    </xf>
    <xf numFmtId="164" fontId="23" fillId="0" borderId="0" xfId="12" applyNumberFormat="1" applyFont="1" applyFill="1" applyAlignment="1">
      <alignment vertical="top" wrapText="1"/>
    </xf>
    <xf numFmtId="0" fontId="27" fillId="0" borderId="3" xfId="12" applyNumberFormat="1" applyFont="1" applyFill="1" applyBorder="1" applyAlignment="1">
      <alignment horizontal="center" vertical="center" wrapText="1"/>
    </xf>
    <xf numFmtId="0" fontId="27" fillId="0" borderId="3" xfId="12" applyNumberFormat="1" applyFont="1" applyFill="1" applyBorder="1" applyAlignment="1">
      <alignment horizontal="left" vertical="center" wrapText="1"/>
    </xf>
    <xf numFmtId="167" fontId="27" fillId="0" borderId="3" xfId="12" applyNumberFormat="1" applyFont="1" applyFill="1" applyBorder="1" applyAlignment="1">
      <alignment horizontal="center" vertical="center" wrapText="1"/>
    </xf>
    <xf numFmtId="167" fontId="23" fillId="0" borderId="3" xfId="12" applyNumberFormat="1" applyFont="1" applyFill="1" applyBorder="1" applyAlignment="1">
      <alignment horizontal="center" vertical="center" wrapText="1"/>
    </xf>
    <xf numFmtId="0" fontId="20" fillId="0" borderId="1" xfId="0" applyFont="1" applyFill="1" applyBorder="1" applyAlignment="1">
      <alignment vertical="center" wrapText="1"/>
    </xf>
    <xf numFmtId="49" fontId="20" fillId="0" borderId="1" xfId="0" applyNumberFormat="1" applyFont="1" applyFill="1" applyBorder="1" applyAlignment="1" applyProtection="1">
      <alignment horizontal="center" vertical="center"/>
      <protection locked="0"/>
    </xf>
    <xf numFmtId="49" fontId="20" fillId="0" borderId="1" xfId="0" applyNumberFormat="1" applyFont="1" applyFill="1" applyBorder="1" applyAlignment="1">
      <alignment horizontal="center" vertical="center"/>
    </xf>
    <xf numFmtId="0" fontId="20" fillId="0" borderId="1" xfId="0" applyFont="1" applyBorder="1" applyAlignment="1">
      <alignment vertical="center" wrapText="1"/>
    </xf>
    <xf numFmtId="0" fontId="2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3" xfId="12" applyNumberFormat="1" applyFont="1" applyFill="1" applyBorder="1" applyAlignment="1">
      <alignment horizontal="left" vertical="center" wrapText="1"/>
    </xf>
    <xf numFmtId="0" fontId="20" fillId="0" borderId="1" xfId="0" applyFont="1" applyFill="1" applyBorder="1" applyAlignment="1" applyProtection="1">
      <alignment vertical="center" wrapText="1"/>
      <protection locked="0"/>
    </xf>
    <xf numFmtId="164" fontId="23" fillId="0" borderId="0" xfId="12" applyNumberFormat="1" applyFont="1" applyFill="1" applyAlignment="1">
      <alignment vertical="center" wrapText="1"/>
    </xf>
    <xf numFmtId="49" fontId="23" fillId="0" borderId="3" xfId="12" applyNumberFormat="1" applyFont="1" applyFill="1" applyBorder="1" applyAlignment="1">
      <alignment horizontal="center" vertical="center" wrapText="1"/>
    </xf>
    <xf numFmtId="0" fontId="27" fillId="0" borderId="1" xfId="12" applyNumberFormat="1" applyFont="1" applyFill="1" applyBorder="1" applyAlignment="1">
      <alignment horizontal="center" vertical="center" wrapText="1"/>
    </xf>
    <xf numFmtId="0" fontId="27" fillId="0" borderId="1" xfId="12" applyNumberFormat="1" applyFont="1" applyFill="1" applyBorder="1" applyAlignment="1">
      <alignment vertical="center" wrapText="1"/>
    </xf>
    <xf numFmtId="167" fontId="23" fillId="0" borderId="1" xfId="12" applyNumberFormat="1" applyFont="1" applyFill="1" applyBorder="1" applyAlignment="1">
      <alignment horizontal="center" vertical="center" wrapText="1"/>
    </xf>
    <xf numFmtId="49" fontId="20" fillId="0" borderId="1" xfId="0" applyNumberFormat="1" applyFont="1" applyFill="1" applyBorder="1" applyAlignment="1">
      <alignment vertical="center" wrapText="1"/>
    </xf>
    <xf numFmtId="49" fontId="25" fillId="0" borderId="1" xfId="0" applyNumberFormat="1" applyFont="1" applyFill="1" applyBorder="1" applyAlignment="1">
      <alignment vertical="center" wrapText="1"/>
    </xf>
    <xf numFmtId="49" fontId="20" fillId="0" borderId="1" xfId="12" applyNumberFormat="1" applyFont="1" applyFill="1" applyBorder="1" applyAlignment="1">
      <alignment horizontal="center" vertical="center" wrapText="1"/>
    </xf>
    <xf numFmtId="0" fontId="28" fillId="0" borderId="1" xfId="12"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4" fontId="23" fillId="0" borderId="0" xfId="12" applyNumberFormat="1" applyFont="1" applyFill="1" applyAlignment="1">
      <alignment horizontal="center" vertical="center" wrapText="1"/>
    </xf>
    <xf numFmtId="167" fontId="20" fillId="0" borderId="1" xfId="12" applyNumberFormat="1" applyFont="1" applyFill="1" applyBorder="1" applyAlignment="1">
      <alignment horizontal="center" vertical="center" wrapText="1"/>
    </xf>
    <xf numFmtId="49" fontId="23" fillId="0" borderId="1" xfId="12" applyNumberFormat="1" applyFont="1" applyFill="1" applyBorder="1" applyAlignment="1">
      <alignment horizontal="center" vertical="center" wrapText="1"/>
    </xf>
    <xf numFmtId="0" fontId="23" fillId="0" borderId="1" xfId="12" applyNumberFormat="1" applyFont="1" applyFill="1" applyBorder="1" applyAlignment="1">
      <alignment vertical="center" wrapText="1"/>
    </xf>
    <xf numFmtId="0" fontId="23" fillId="0" borderId="3" xfId="12" applyNumberFormat="1" applyFont="1" applyFill="1" applyBorder="1" applyAlignment="1">
      <alignment horizontal="center" vertical="center" wrapText="1"/>
    </xf>
    <xf numFmtId="0" fontId="26" fillId="0" borderId="1" xfId="12" applyNumberFormat="1" applyFont="1" applyFill="1" applyBorder="1" applyAlignment="1">
      <alignment vertical="center" wrapText="1"/>
    </xf>
    <xf numFmtId="167" fontId="26" fillId="0" borderId="1" xfId="12" applyNumberFormat="1" applyFont="1" applyFill="1" applyBorder="1" applyAlignment="1">
      <alignment horizontal="center" vertical="center" wrapText="1"/>
    </xf>
    <xf numFmtId="164" fontId="20" fillId="0" borderId="0" xfId="12" applyNumberFormat="1" applyFont="1" applyFill="1" applyAlignment="1">
      <alignment vertical="top" wrapText="1"/>
    </xf>
    <xf numFmtId="0" fontId="20" fillId="0" borderId="3" xfId="12" applyNumberFormat="1" applyFont="1" applyFill="1" applyBorder="1" applyAlignment="1">
      <alignment horizontal="left" vertical="center" wrapText="1"/>
    </xf>
    <xf numFmtId="49" fontId="20" fillId="0" borderId="1" xfId="0" applyNumberFormat="1" applyFont="1" applyFill="1" applyBorder="1" applyAlignment="1">
      <alignment horizontal="justify" vertical="center" wrapText="1"/>
    </xf>
    <xf numFmtId="164" fontId="20" fillId="0" borderId="0" xfId="12" applyNumberFormat="1" applyFont="1" applyFill="1" applyAlignment="1">
      <alignment vertical="center" wrapText="1"/>
    </xf>
    <xf numFmtId="164" fontId="20" fillId="0" borderId="0" xfId="12" applyNumberFormat="1" applyFont="1" applyFill="1" applyAlignment="1">
      <alignment wrapText="1"/>
    </xf>
    <xf numFmtId="0" fontId="26" fillId="0" borderId="1" xfId="12" applyNumberFormat="1" applyFont="1" applyFill="1" applyBorder="1" applyAlignment="1">
      <alignment horizontal="center" vertical="center" wrapText="1"/>
    </xf>
    <xf numFmtId="2" fontId="23" fillId="0" borderId="0" xfId="12" applyNumberFormat="1" applyFont="1" applyFill="1" applyAlignment="1">
      <alignment vertical="top" wrapText="1"/>
    </xf>
    <xf numFmtId="164" fontId="23" fillId="0" borderId="0" xfId="13" applyNumberFormat="1" applyFont="1" applyFill="1" applyAlignment="1">
      <alignment vertical="center" wrapText="1"/>
    </xf>
    <xf numFmtId="0" fontId="27" fillId="0" borderId="5" xfId="13" applyNumberFormat="1" applyFont="1" applyFill="1" applyBorder="1" applyAlignment="1">
      <alignment horizontal="center" vertical="center" wrapText="1"/>
    </xf>
    <xf numFmtId="0" fontId="27" fillId="0" borderId="5" xfId="13" applyNumberFormat="1" applyFont="1" applyFill="1" applyBorder="1" applyAlignment="1">
      <alignment horizontal="left" vertical="center" wrapText="1"/>
    </xf>
    <xf numFmtId="0" fontId="26" fillId="0" borderId="1" xfId="13" applyNumberFormat="1" applyFont="1" applyFill="1" applyBorder="1" applyAlignment="1">
      <alignment horizontal="center" vertical="center" wrapText="1"/>
    </xf>
    <xf numFmtId="164" fontId="27" fillId="0" borderId="0" xfId="13" applyNumberFormat="1" applyFont="1" applyFill="1" applyAlignment="1">
      <alignment vertical="center" wrapText="1"/>
    </xf>
    <xf numFmtId="166" fontId="27" fillId="0" borderId="5" xfId="13" applyNumberFormat="1" applyFont="1" applyFill="1" applyBorder="1" applyAlignment="1">
      <alignment horizontal="center" vertical="center" wrapText="1"/>
    </xf>
    <xf numFmtId="166" fontId="27" fillId="0" borderId="1" xfId="13" applyNumberFormat="1" applyFont="1" applyFill="1" applyBorder="1" applyAlignment="1">
      <alignment horizontal="center" vertical="center" wrapText="1"/>
    </xf>
    <xf numFmtId="166" fontId="23" fillId="0" borderId="1" xfId="13" applyNumberFormat="1" applyFont="1" applyFill="1" applyBorder="1" applyAlignment="1">
      <alignment horizontal="center" vertical="center" wrapText="1"/>
    </xf>
    <xf numFmtId="166" fontId="23" fillId="0" borderId="0" xfId="13" applyNumberFormat="1" applyFont="1" applyFill="1" applyAlignment="1">
      <alignment vertical="center" wrapText="1"/>
    </xf>
    <xf numFmtId="0" fontId="23" fillId="0" borderId="3" xfId="12" applyNumberFormat="1" applyFont="1" applyFill="1" applyBorder="1" applyAlignment="1">
      <alignment vertical="center" wrapText="1"/>
    </xf>
    <xf numFmtId="0" fontId="20" fillId="0" borderId="0" xfId="0" applyFont="1">
      <alignment wrapText="1"/>
    </xf>
    <xf numFmtId="166" fontId="20" fillId="0" borderId="1" xfId="13" applyNumberFormat="1" applyFont="1" applyFill="1" applyBorder="1" applyAlignment="1">
      <alignment horizontal="center" vertical="center" wrapText="1"/>
    </xf>
    <xf numFmtId="0" fontId="23" fillId="0" borderId="0" xfId="12" applyNumberFormat="1" applyFont="1" applyFill="1" applyAlignment="1">
      <alignment horizontal="right" vertical="top"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6" fillId="0" borderId="3" xfId="12" applyNumberFormat="1" applyFont="1" applyFill="1" applyBorder="1" applyAlignment="1">
      <alignment horizontal="lef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3" xfId="13" applyNumberFormat="1" applyFont="1" applyFill="1" applyBorder="1" applyAlignment="1">
      <alignment horizontal="center" vertical="center" wrapText="1"/>
    </xf>
    <xf numFmtId="166" fontId="23" fillId="0" borderId="3" xfId="13" applyNumberFormat="1" applyFont="1" applyFill="1" applyBorder="1" applyAlignment="1">
      <alignment horizontal="center" vertical="center" wrapText="1"/>
    </xf>
    <xf numFmtId="0" fontId="20" fillId="0" borderId="0" xfId="0" applyFont="1" applyFill="1">
      <alignment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49" fontId="23" fillId="0" borderId="0" xfId="12" applyNumberFormat="1" applyFont="1" applyFill="1" applyAlignment="1">
      <alignment vertical="top" wrapText="1"/>
    </xf>
    <xf numFmtId="0" fontId="20" fillId="0" borderId="1" xfId="0" applyFont="1" applyFill="1" applyBorder="1" applyAlignment="1">
      <alignment horizontal="left" vertical="center" wrapText="1"/>
    </xf>
    <xf numFmtId="0" fontId="23" fillId="0" borderId="0" xfId="0" applyFont="1">
      <alignment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0" xfId="84" applyFont="1" applyAlignment="1">
      <alignment horizontal="left"/>
    </xf>
    <xf numFmtId="0" fontId="20" fillId="0" borderId="0" xfId="84" applyFont="1"/>
    <xf numFmtId="0" fontId="20" fillId="0" borderId="0" xfId="84" applyFont="1" applyAlignment="1">
      <alignment horizontal="center"/>
    </xf>
    <xf numFmtId="0" fontId="20" fillId="0" borderId="1" xfId="84" applyFont="1" applyBorder="1" applyAlignment="1">
      <alignment horizontal="center" vertical="center" wrapText="1"/>
    </xf>
    <xf numFmtId="0" fontId="32" fillId="0" borderId="1" xfId="0" applyFont="1" applyBorder="1" applyAlignment="1">
      <alignment horizontal="left" vertical="center" wrapText="1"/>
    </xf>
    <xf numFmtId="0" fontId="32" fillId="0" borderId="8" xfId="0" applyFont="1" applyBorder="1" applyAlignment="1">
      <alignment horizontal="center" vertical="center" wrapText="1"/>
    </xf>
    <xf numFmtId="49" fontId="20" fillId="0" borderId="1" xfId="84"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left" vertical="center" wrapText="1"/>
    </xf>
    <xf numFmtId="0" fontId="32" fillId="0" borderId="8" xfId="0" applyFont="1" applyFill="1" applyBorder="1" applyAlignment="1">
      <alignment vertical="center" wrapText="1"/>
    </xf>
    <xf numFmtId="0" fontId="20" fillId="0" borderId="1" xfId="85" applyFont="1" applyBorder="1" applyAlignment="1">
      <alignment horizontal="left" vertical="center" wrapText="1"/>
    </xf>
    <xf numFmtId="0" fontId="20" fillId="0" borderId="1" xfId="85" applyFont="1" applyBorder="1" applyAlignment="1">
      <alignment horizontal="center" vertical="center" wrapText="1"/>
    </xf>
    <xf numFmtId="166" fontId="20" fillId="0" borderId="1" xfId="84" applyNumberFormat="1" applyFont="1" applyBorder="1" applyAlignment="1">
      <alignment horizontal="center" vertical="center" wrapText="1"/>
    </xf>
    <xf numFmtId="49" fontId="20" fillId="0" borderId="1" xfId="84" applyNumberFormat="1" applyFont="1" applyFill="1" applyBorder="1" applyAlignment="1">
      <alignment horizontal="center" vertical="center" wrapText="1"/>
    </xf>
    <xf numFmtId="166" fontId="20" fillId="0" borderId="1" xfId="84" applyNumberFormat="1" applyFont="1" applyFill="1" applyBorder="1" applyAlignment="1">
      <alignment horizontal="center" vertical="center" wrapText="1"/>
    </xf>
    <xf numFmtId="0" fontId="20" fillId="0" borderId="1" xfId="84" applyFont="1" applyBorder="1" applyAlignment="1">
      <alignment horizontal="lef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0" applyFont="1" applyBorder="1" applyAlignment="1">
      <alignment horizontal="center" vertical="center" wrapText="1"/>
    </xf>
    <xf numFmtId="49" fontId="20" fillId="0" borderId="7"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wrapText="1"/>
    </xf>
    <xf numFmtId="49" fontId="26" fillId="0" borderId="1" xfId="0" applyNumberFormat="1" applyFont="1" applyBorder="1" applyAlignment="1">
      <alignment horizontal="center" vertical="center"/>
    </xf>
    <xf numFmtId="0" fontId="26" fillId="0" borderId="1" xfId="0" applyFont="1" applyBorder="1" applyAlignment="1">
      <alignment horizontal="left" vertical="center" wrapText="1"/>
    </xf>
    <xf numFmtId="166" fontId="26"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20" fillId="0" borderId="1" xfId="0" applyFont="1" applyBorder="1" applyAlignment="1">
      <alignment horizontal="left" vertical="center" wrapText="1"/>
    </xf>
    <xf numFmtId="166" fontId="20" fillId="0" borderId="1" xfId="0" applyNumberFormat="1" applyFont="1" applyBorder="1" applyAlignment="1">
      <alignment horizontal="center" vertical="center"/>
    </xf>
    <xf numFmtId="166" fontId="20" fillId="0" borderId="7" xfId="0" applyNumberFormat="1" applyFont="1" applyBorder="1" applyAlignment="1">
      <alignment horizontal="center" vertical="center" wrapText="1"/>
    </xf>
    <xf numFmtId="49" fontId="20" fillId="0" borderId="0" xfId="0" applyNumberFormat="1" applyFont="1" applyFill="1" applyBorder="1" applyAlignment="1">
      <alignment horizontal="center"/>
    </xf>
    <xf numFmtId="49" fontId="20" fillId="0" borderId="0" xfId="0" applyNumberFormat="1" applyFont="1" applyFill="1" applyBorder="1" applyAlignment="1">
      <alignment horizontal="right"/>
    </xf>
    <xf numFmtId="0" fontId="20" fillId="0" borderId="0" xfId="0" applyFont="1" applyAlignment="1">
      <alignment horizontal="center"/>
    </xf>
    <xf numFmtId="0" fontId="20" fillId="0" borderId="0" xfId="0" applyFont="1" applyAlignment="1">
      <alignment horizontal="right"/>
    </xf>
    <xf numFmtId="0" fontId="20" fillId="0" borderId="1" xfId="84"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6" fillId="0" borderId="1" xfId="84" applyFont="1" applyBorder="1" applyAlignment="1">
      <alignment horizontal="left" vertical="center" wrapText="1"/>
    </xf>
    <xf numFmtId="0" fontId="26" fillId="0" borderId="1" xfId="84" applyFont="1" applyBorder="1" applyAlignment="1">
      <alignment horizontal="center" vertical="center" wrapText="1"/>
    </xf>
    <xf numFmtId="166" fontId="26" fillId="0" borderId="1" xfId="84" applyNumberFormat="1" applyFont="1" applyBorder="1" applyAlignment="1">
      <alignment horizontal="center" vertical="center" wrapText="1"/>
    </xf>
    <xf numFmtId="49" fontId="26" fillId="0" borderId="1" xfId="84" applyNumberFormat="1" applyFont="1" applyBorder="1" applyAlignment="1">
      <alignment horizontal="center" vertical="center" wrapText="1"/>
    </xf>
    <xf numFmtId="0" fontId="20" fillId="0" borderId="1" xfId="12" applyNumberFormat="1" applyFont="1" applyFill="1" applyBorder="1" applyAlignment="1">
      <alignment vertical="center" wrapText="1"/>
    </xf>
    <xf numFmtId="0" fontId="20" fillId="0" borderId="0" xfId="90" applyFont="1">
      <alignment horizontal="justify" vertical="top" wrapText="1"/>
    </xf>
    <xf numFmtId="168" fontId="20" fillId="0" borderId="0" xfId="91" applyNumberFormat="1" applyFont="1" applyAlignment="1">
      <alignment vertical="top" wrapText="1"/>
    </xf>
    <xf numFmtId="0" fontId="20" fillId="0" borderId="0" xfId="90" applyFont="1" applyAlignment="1">
      <alignment horizontal="right" vertical="top" wrapText="1"/>
    </xf>
    <xf numFmtId="0" fontId="20" fillId="0" borderId="0" xfId="90" applyFont="1" applyAlignment="1">
      <alignment vertical="top" wrapText="1"/>
    </xf>
    <xf numFmtId="0" fontId="20" fillId="0" borderId="0" xfId="90" applyFont="1" applyAlignment="1">
      <alignment vertical="top"/>
    </xf>
    <xf numFmtId="0" fontId="20" fillId="0" borderId="0" xfId="90" applyFont="1" applyAlignment="1">
      <alignment horizontal="center" vertical="top" wrapText="1"/>
    </xf>
    <xf numFmtId="0" fontId="20" fillId="0" borderId="0" xfId="90" applyFont="1" applyAlignment="1">
      <alignment horizontal="center" vertical="center" wrapText="1"/>
    </xf>
    <xf numFmtId="0" fontId="20" fillId="0" borderId="1" xfId="90" applyFont="1" applyBorder="1" applyAlignment="1">
      <alignment horizontal="center" vertical="center" wrapText="1"/>
    </xf>
    <xf numFmtId="0" fontId="20" fillId="0" borderId="1" xfId="90" applyFont="1" applyBorder="1" applyAlignment="1">
      <alignment horizontal="left" vertical="center" wrapText="1" indent="1"/>
    </xf>
    <xf numFmtId="166" fontId="20" fillId="0" borderId="1" xfId="90" applyNumberFormat="1" applyFont="1" applyBorder="1" applyAlignment="1">
      <alignment horizontal="center" vertical="center" wrapText="1"/>
    </xf>
    <xf numFmtId="0" fontId="26" fillId="0" borderId="1" xfId="90" applyFont="1" applyBorder="1" applyAlignment="1">
      <alignment horizontal="left" vertical="center" wrapText="1" indent="1"/>
    </xf>
    <xf numFmtId="166" fontId="26" fillId="0" borderId="1" xfId="90" applyNumberFormat="1" applyFont="1" applyBorder="1" applyAlignment="1">
      <alignment horizontal="center" vertical="center" wrapText="1"/>
    </xf>
    <xf numFmtId="0" fontId="20" fillId="0" borderId="1" xfId="90" applyFont="1" applyFill="1" applyBorder="1" applyAlignment="1">
      <alignment horizontal="center" vertical="center" wrapText="1"/>
    </xf>
    <xf numFmtId="0" fontId="20" fillId="0" borderId="1" xfId="90" applyFont="1" applyFill="1" applyBorder="1" applyAlignment="1">
      <alignment horizontal="left" vertical="center" wrapText="1" indent="1"/>
    </xf>
    <xf numFmtId="166" fontId="20" fillId="0" borderId="1" xfId="90" applyNumberFormat="1" applyFont="1" applyFill="1" applyBorder="1" applyAlignment="1">
      <alignment horizontal="center" vertical="center" wrapText="1"/>
    </xf>
    <xf numFmtId="0" fontId="20" fillId="0" borderId="1" xfId="90" applyFont="1" applyFill="1" applyBorder="1" applyAlignment="1">
      <alignment horizontal="left" vertical="top" wrapText="1"/>
    </xf>
    <xf numFmtId="0" fontId="26" fillId="0" borderId="1" xfId="90" applyFont="1" applyFill="1" applyBorder="1" applyAlignment="1">
      <alignment horizontal="left" vertical="top" wrapText="1" indent="1"/>
    </xf>
    <xf numFmtId="166" fontId="26" fillId="0" borderId="1" xfId="90" applyNumberFormat="1" applyFont="1" applyFill="1" applyBorder="1" applyAlignment="1">
      <alignment horizontal="center" vertical="top" wrapText="1"/>
    </xf>
    <xf numFmtId="0" fontId="20" fillId="0" borderId="1" xfId="12" applyNumberFormat="1" applyFont="1" applyFill="1" applyBorder="1" applyAlignment="1">
      <alignment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0" xfId="12" applyNumberFormat="1" applyFont="1" applyFill="1" applyAlignment="1">
      <alignment horizontal="right" vertical="top"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3" xfId="12" applyNumberFormat="1" applyFont="1" applyFill="1" applyBorder="1" applyAlignment="1">
      <alignment horizontal="center" vertical="center" wrapText="1"/>
    </xf>
    <xf numFmtId="0" fontId="20" fillId="0" borderId="0"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6" fillId="0" borderId="0" xfId="0" applyFont="1" applyAlignment="1">
      <alignment horizontal="center" wrapText="1"/>
    </xf>
    <xf numFmtId="49" fontId="20" fillId="0" borderId="8"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4" xfId="12" applyNumberFormat="1" applyFont="1" applyFill="1" applyBorder="1" applyAlignment="1">
      <alignment horizontal="center" vertical="center" wrapText="1"/>
    </xf>
    <xf numFmtId="0" fontId="27" fillId="0" borderId="0" xfId="12" applyNumberFormat="1" applyFont="1" applyFill="1" applyAlignment="1">
      <alignment horizontal="center" vertical="center" wrapText="1"/>
    </xf>
    <xf numFmtId="0" fontId="23" fillId="0" borderId="1" xfId="12" applyNumberFormat="1" applyFont="1" applyFill="1" applyBorder="1" applyAlignment="1">
      <alignment horizontal="center" vertical="center" wrapText="1"/>
    </xf>
    <xf numFmtId="0" fontId="20" fillId="0" borderId="1" xfId="12" applyNumberFormat="1" applyFont="1" applyFill="1" applyBorder="1" applyAlignment="1">
      <alignment vertical="center" wrapText="1"/>
    </xf>
    <xf numFmtId="0" fontId="20" fillId="0" borderId="9" xfId="0" applyFont="1" applyBorder="1" applyAlignment="1">
      <alignment horizontal="center" vertical="center" wrapText="1"/>
    </xf>
    <xf numFmtId="0" fontId="26" fillId="0" borderId="2" xfId="0" applyFont="1" applyFill="1" applyBorder="1" applyAlignment="1">
      <alignment horizontal="left" vertical="center"/>
    </xf>
    <xf numFmtId="0" fontId="27" fillId="0" borderId="6" xfId="12" applyNumberFormat="1" applyFont="1" applyFill="1" applyBorder="1" applyAlignment="1">
      <alignment horizontal="center" vertical="center" wrapText="1"/>
    </xf>
    <xf numFmtId="0" fontId="27" fillId="0" borderId="0" xfId="12" applyNumberFormat="1" applyFont="1" applyFill="1" applyBorder="1" applyAlignment="1">
      <alignment horizontal="center" vertical="center" wrapText="1"/>
    </xf>
    <xf numFmtId="0" fontId="20" fillId="0" borderId="0" xfId="0" applyFont="1" applyAlignment="1">
      <alignment horizontal="right"/>
    </xf>
    <xf numFmtId="0" fontId="20" fillId="0" borderId="8" xfId="90" applyFont="1" applyBorder="1" applyAlignment="1">
      <alignment horizontal="center" vertical="center" wrapText="1"/>
    </xf>
    <xf numFmtId="0" fontId="23" fillId="0" borderId="3" xfId="13" applyNumberFormat="1" applyFont="1" applyFill="1" applyBorder="1" applyAlignment="1">
      <alignment vertical="center" wrapText="1"/>
    </xf>
    <xf numFmtId="2" fontId="23" fillId="0" borderId="0" xfId="13" applyNumberFormat="1" applyFont="1" applyFill="1" applyAlignment="1">
      <alignment vertical="center" wrapText="1"/>
    </xf>
    <xf numFmtId="0" fontId="23" fillId="0" borderId="10" xfId="12"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xf>
    <xf numFmtId="167" fontId="23" fillId="0" borderId="6" xfId="12" applyNumberFormat="1" applyFont="1" applyFill="1" applyBorder="1" applyAlignment="1">
      <alignment horizontal="center" vertical="center" wrapText="1"/>
    </xf>
    <xf numFmtId="0" fontId="35" fillId="0" borderId="1" xfId="90" applyFont="1" applyBorder="1" applyAlignment="1">
      <alignment horizontal="center" vertical="center" wrapText="1"/>
    </xf>
    <xf numFmtId="0" fontId="35" fillId="0" borderId="1" xfId="0" applyFont="1" applyFill="1" applyBorder="1" applyAlignment="1">
      <alignment horizontal="center" vertical="center" wrapText="1"/>
    </xf>
    <xf numFmtId="49" fontId="26"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32" fillId="0" borderId="0" xfId="101" applyFont="1" applyFill="1"/>
    <xf numFmtId="49" fontId="20" fillId="0" borderId="0" xfId="101" applyNumberFormat="1" applyFont="1" applyFill="1" applyBorder="1" applyAlignment="1">
      <alignment horizontal="center" vertical="center"/>
    </xf>
    <xf numFmtId="0" fontId="20" fillId="0" borderId="0" xfId="101" applyFont="1" applyFill="1" applyBorder="1" applyAlignment="1">
      <alignment horizontal="left" vertical="center" wrapText="1"/>
    </xf>
    <xf numFmtId="0" fontId="20" fillId="0" borderId="0" xfId="101" applyFont="1" applyFill="1"/>
    <xf numFmtId="0" fontId="26" fillId="0" borderId="0" xfId="102" applyFont="1" applyFill="1" applyBorder="1" applyAlignment="1">
      <alignment horizontal="center" vertical="center" wrapText="1"/>
    </xf>
    <xf numFmtId="49" fontId="26" fillId="0" borderId="1" xfId="101" applyNumberFormat="1" applyFont="1" applyFill="1" applyBorder="1" applyAlignment="1">
      <alignment horizontal="center" vertical="center" wrapText="1"/>
    </xf>
    <xf numFmtId="0" fontId="26" fillId="0" borderId="1" xfId="101" applyFont="1" applyFill="1" applyBorder="1" applyAlignment="1">
      <alignment horizontal="center" vertical="center" wrapText="1"/>
    </xf>
    <xf numFmtId="49" fontId="26" fillId="0" borderId="1" xfId="101" applyNumberFormat="1" applyFont="1" applyFill="1" applyBorder="1" applyAlignment="1">
      <alignment horizontal="center" vertical="center"/>
    </xf>
    <xf numFmtId="0" fontId="26" fillId="0" borderId="1" xfId="101" applyFont="1" applyFill="1" applyBorder="1" applyAlignment="1">
      <alignment horizontal="justify" vertical="center" wrapText="1"/>
    </xf>
    <xf numFmtId="167" fontId="26" fillId="0" borderId="1" xfId="101" applyNumberFormat="1" applyFont="1" applyFill="1" applyBorder="1" applyAlignment="1">
      <alignment horizontal="center" vertical="center"/>
    </xf>
    <xf numFmtId="167" fontId="32" fillId="0" borderId="0" xfId="101" applyNumberFormat="1" applyFont="1" applyFill="1"/>
    <xf numFmtId="49" fontId="20" fillId="0" borderId="1" xfId="101" applyNumberFormat="1" applyFont="1" applyFill="1" applyBorder="1" applyAlignment="1">
      <alignment horizontal="center" vertical="center"/>
    </xf>
    <xf numFmtId="0" fontId="20" fillId="0" borderId="1" xfId="101" applyFont="1" applyFill="1" applyBorder="1" applyAlignment="1">
      <alignment horizontal="justify" vertical="center" wrapText="1"/>
    </xf>
    <xf numFmtId="167" fontId="20" fillId="0" borderId="1" xfId="101" applyNumberFormat="1" applyFont="1" applyFill="1" applyBorder="1" applyAlignment="1">
      <alignment horizontal="center" vertical="center"/>
    </xf>
    <xf numFmtId="0" fontId="26" fillId="0" borderId="1" xfId="101" applyFont="1" applyFill="1" applyBorder="1" applyAlignment="1">
      <alignment horizontal="left" vertical="center" wrapText="1"/>
    </xf>
    <xf numFmtId="0" fontId="26" fillId="0" borderId="1" xfId="102" applyFont="1" applyFill="1" applyBorder="1" applyAlignment="1">
      <alignment horizontal="justify" vertical="center" wrapText="1"/>
    </xf>
    <xf numFmtId="167" fontId="26" fillId="0" borderId="1" xfId="102" applyNumberFormat="1" applyFont="1" applyFill="1" applyBorder="1" applyAlignment="1">
      <alignment horizontal="center" vertical="center"/>
    </xf>
    <xf numFmtId="0" fontId="20" fillId="0" borderId="1" xfId="102" applyFont="1" applyFill="1" applyBorder="1" applyAlignment="1">
      <alignment horizontal="justify" vertical="center" wrapText="1"/>
    </xf>
    <xf numFmtId="167" fontId="20" fillId="0" borderId="1" xfId="102" applyNumberFormat="1" applyFont="1" applyFill="1" applyBorder="1" applyAlignment="1">
      <alignment horizontal="center" vertical="center"/>
    </xf>
    <xf numFmtId="167" fontId="20" fillId="0" borderId="1" xfId="101" applyNumberFormat="1" applyFont="1" applyFill="1" applyBorder="1" applyAlignment="1">
      <alignment horizontal="center" vertical="center" wrapText="1"/>
    </xf>
    <xf numFmtId="49" fontId="20" fillId="0" borderId="1" xfId="101" applyNumberFormat="1" applyFont="1" applyFill="1" applyBorder="1" applyAlignment="1">
      <alignment horizontal="center" vertical="center" wrapText="1"/>
    </xf>
    <xf numFmtId="0" fontId="26" fillId="0" borderId="1" xfId="101" applyNumberFormat="1" applyFont="1" applyFill="1" applyBorder="1" applyAlignment="1" applyProtection="1">
      <alignment horizontal="center" vertical="center"/>
    </xf>
    <xf numFmtId="0" fontId="26" fillId="0" borderId="1" xfId="101" applyNumberFormat="1" applyFont="1" applyFill="1" applyBorder="1" applyAlignment="1" applyProtection="1">
      <alignment horizontal="justify" vertical="center" wrapText="1"/>
    </xf>
    <xf numFmtId="0" fontId="26" fillId="0" borderId="1" xfId="101" applyNumberFormat="1" applyFont="1" applyFill="1" applyBorder="1" applyAlignment="1" applyProtection="1">
      <alignment horizontal="center" vertical="center" wrapText="1"/>
    </xf>
    <xf numFmtId="0" fontId="20" fillId="0" borderId="1" xfId="101" applyNumberFormat="1" applyFont="1" applyFill="1" applyBorder="1" applyAlignment="1" applyProtection="1">
      <alignment horizontal="center" vertical="center"/>
    </xf>
    <xf numFmtId="0" fontId="20" fillId="0" borderId="1" xfId="101" applyNumberFormat="1" applyFont="1" applyFill="1" applyBorder="1" applyAlignment="1" applyProtection="1">
      <alignment horizontal="justify" vertical="center" wrapText="1"/>
    </xf>
    <xf numFmtId="0" fontId="26" fillId="0" borderId="1" xfId="103" applyNumberFormat="1" applyFont="1" applyFill="1" applyBorder="1" applyAlignment="1" applyProtection="1">
      <alignment horizontal="center" vertical="center"/>
    </xf>
    <xf numFmtId="0" fontId="26" fillId="0" borderId="1" xfId="103" applyNumberFormat="1" applyFont="1" applyFill="1" applyBorder="1" applyAlignment="1" applyProtection="1">
      <alignment horizontal="justify" vertical="center" wrapText="1"/>
    </xf>
    <xf numFmtId="49" fontId="20" fillId="0" borderId="1" xfId="103" applyNumberFormat="1" applyFont="1" applyFill="1" applyBorder="1" applyAlignment="1">
      <alignment horizontal="center" vertical="center"/>
    </xf>
    <xf numFmtId="0" fontId="20" fillId="0" borderId="1" xfId="103" applyNumberFormat="1" applyFont="1" applyFill="1" applyBorder="1" applyAlignment="1" applyProtection="1">
      <alignment horizontal="justify" vertical="center" wrapText="1"/>
    </xf>
    <xf numFmtId="49" fontId="20" fillId="0" borderId="8" xfId="103" applyNumberFormat="1" applyFont="1" applyFill="1" applyBorder="1" applyAlignment="1">
      <alignment horizontal="center" vertical="center"/>
    </xf>
    <xf numFmtId="0" fontId="20" fillId="0" borderId="8" xfId="103" applyNumberFormat="1" applyFont="1" applyFill="1" applyBorder="1" applyAlignment="1" applyProtection="1">
      <alignment horizontal="justify" vertical="center" wrapText="1"/>
    </xf>
    <xf numFmtId="167" fontId="20" fillId="0" borderId="2" xfId="101" applyNumberFormat="1" applyFont="1" applyFill="1" applyBorder="1" applyAlignment="1">
      <alignment horizontal="center" vertical="center"/>
    </xf>
    <xf numFmtId="49" fontId="20" fillId="0" borderId="1" xfId="103" applyNumberFormat="1" applyFont="1" applyFill="1" applyBorder="1" applyAlignment="1">
      <alignment horizontal="center" vertical="center" wrapText="1"/>
    </xf>
    <xf numFmtId="0" fontId="20" fillId="0" borderId="1" xfId="103" quotePrefix="1" applyNumberFormat="1" applyFont="1" applyFill="1" applyBorder="1" applyAlignment="1" applyProtection="1">
      <alignment horizontal="justify" vertical="top" wrapText="1"/>
    </xf>
    <xf numFmtId="167" fontId="26" fillId="0" borderId="1" xfId="103" applyNumberFormat="1" applyFont="1" applyFill="1" applyBorder="1" applyAlignment="1">
      <alignment horizontal="center" vertical="center"/>
    </xf>
    <xf numFmtId="167" fontId="20" fillId="0" borderId="1" xfId="103" applyNumberFormat="1" applyFont="1" applyFill="1" applyBorder="1" applyAlignment="1">
      <alignment horizontal="center" vertical="center"/>
    </xf>
    <xf numFmtId="0" fontId="33" fillId="0" borderId="0" xfId="101" applyFont="1" applyFill="1"/>
    <xf numFmtId="0" fontId="36" fillId="0" borderId="1" xfId="12" applyNumberFormat="1" applyFont="1" applyFill="1" applyBorder="1" applyAlignment="1" applyProtection="1">
      <alignment horizontal="center" vertical="center"/>
    </xf>
    <xf numFmtId="0" fontId="36" fillId="0" borderId="1" xfId="12" applyNumberFormat="1" applyFont="1" applyFill="1" applyBorder="1" applyAlignment="1" applyProtection="1">
      <alignment horizontal="left" vertical="center" wrapText="1"/>
    </xf>
    <xf numFmtId="0" fontId="35" fillId="0" borderId="1" xfId="12" applyNumberFormat="1" applyFont="1" applyFill="1" applyBorder="1" applyAlignment="1" applyProtection="1">
      <alignment horizontal="left" vertical="center" wrapText="1"/>
    </xf>
    <xf numFmtId="167" fontId="20" fillId="0" borderId="1" xfId="34" applyNumberFormat="1" applyFont="1" applyFill="1" applyBorder="1" applyAlignment="1">
      <alignment horizontal="center" vertical="center"/>
    </xf>
    <xf numFmtId="2" fontId="20" fillId="0" borderId="0" xfId="101" applyNumberFormat="1" applyFont="1" applyFill="1"/>
    <xf numFmtId="0" fontId="20" fillId="0" borderId="0" xfId="104" applyFont="1" applyFill="1" applyAlignment="1">
      <alignment horizontal="center" vertical="center" wrapText="1"/>
    </xf>
    <xf numFmtId="0" fontId="20" fillId="0" borderId="0" xfId="104" applyFont="1" applyFill="1" applyAlignment="1"/>
    <xf numFmtId="0" fontId="26" fillId="0" borderId="1" xfId="104" applyFont="1" applyFill="1" applyBorder="1" applyAlignment="1">
      <alignment horizontal="center" vertical="center" wrapText="1"/>
    </xf>
    <xf numFmtId="0" fontId="26" fillId="0" borderId="0" xfId="104" applyFont="1" applyFill="1" applyAlignment="1"/>
    <xf numFmtId="0" fontId="29" fillId="0" borderId="1" xfId="104" applyFont="1" applyFill="1" applyBorder="1" applyAlignment="1">
      <alignment horizontal="center" vertical="center" wrapText="1"/>
    </xf>
    <xf numFmtId="0" fontId="20" fillId="0" borderId="1" xfId="104" applyFont="1" applyFill="1" applyBorder="1" applyAlignment="1">
      <alignment horizontal="justify" vertical="center" wrapText="1"/>
    </xf>
    <xf numFmtId="2" fontId="20" fillId="0" borderId="1" xfId="104" applyNumberFormat="1" applyFont="1" applyFill="1" applyBorder="1" applyAlignment="1">
      <alignment horizontal="center" vertical="center" shrinkToFit="1"/>
    </xf>
    <xf numFmtId="167" fontId="20" fillId="0" borderId="1" xfId="104" applyNumberFormat="1" applyFont="1" applyFill="1" applyBorder="1" applyAlignment="1">
      <alignment horizontal="center" vertical="center" shrinkToFit="1"/>
    </xf>
    <xf numFmtId="0" fontId="30" fillId="0" borderId="1" xfId="104" applyFont="1" applyFill="1" applyBorder="1" applyAlignment="1">
      <alignment horizontal="center" vertical="center" wrapText="1"/>
    </xf>
    <xf numFmtId="0" fontId="37" fillId="0" borderId="0" xfId="105" applyFont="1" applyFill="1"/>
    <xf numFmtId="0" fontId="20" fillId="0" borderId="1" xfId="104" applyNumberFormat="1" applyFont="1" applyFill="1" applyBorder="1" applyAlignment="1" applyProtection="1">
      <alignment horizontal="justify" vertical="center" wrapText="1"/>
    </xf>
    <xf numFmtId="49" fontId="20" fillId="0" borderId="1" xfId="104" applyNumberFormat="1" applyFont="1" applyFill="1" applyBorder="1" applyAlignment="1">
      <alignment horizontal="center" vertical="center" shrinkToFit="1"/>
    </xf>
    <xf numFmtId="49" fontId="20" fillId="0" borderId="1" xfId="104" applyNumberFormat="1" applyFont="1" applyFill="1" applyBorder="1" applyAlignment="1">
      <alignment horizontal="justify" vertical="center" wrapText="1"/>
    </xf>
    <xf numFmtId="4" fontId="26" fillId="0" borderId="0" xfId="104" applyNumberFormat="1" applyFont="1" applyFill="1" applyAlignment="1"/>
    <xf numFmtId="49" fontId="30" fillId="0" borderId="1" xfId="104" applyNumberFormat="1" applyFont="1" applyFill="1" applyBorder="1" applyAlignment="1">
      <alignment horizontal="center" vertical="center" shrinkToFit="1"/>
    </xf>
    <xf numFmtId="4" fontId="20" fillId="0" borderId="0" xfId="104" applyNumberFormat="1" applyFont="1" applyFill="1" applyAlignment="1"/>
    <xf numFmtId="49" fontId="26" fillId="0" borderId="1" xfId="104" applyNumberFormat="1" applyFont="1" applyFill="1" applyBorder="1" applyAlignment="1">
      <alignment horizontal="center" vertical="center" shrinkToFit="1"/>
    </xf>
    <xf numFmtId="49" fontId="29" fillId="0" borderId="1" xfId="104" applyNumberFormat="1" applyFont="1" applyFill="1" applyBorder="1" applyAlignment="1">
      <alignment horizontal="center" vertical="center" shrinkToFit="1"/>
    </xf>
    <xf numFmtId="0" fontId="20" fillId="0" borderId="1" xfId="104" applyFont="1" applyFill="1" applyBorder="1" applyAlignment="1">
      <alignment horizontal="center" vertical="center"/>
    </xf>
    <xf numFmtId="167" fontId="20" fillId="0" borderId="1" xfId="104" applyNumberFormat="1" applyFont="1" applyFill="1" applyBorder="1" applyAlignment="1">
      <alignment horizontal="center" vertical="center"/>
    </xf>
    <xf numFmtId="167" fontId="20" fillId="0" borderId="0" xfId="104" applyNumberFormat="1" applyFont="1" applyFill="1" applyAlignment="1"/>
    <xf numFmtId="0" fontId="38" fillId="0" borderId="0" xfId="104" applyFont="1" applyFill="1" applyAlignment="1"/>
    <xf numFmtId="167" fontId="38" fillId="0" borderId="0" xfId="104" applyNumberFormat="1" applyFont="1" applyFill="1" applyAlignment="1"/>
    <xf numFmtId="0" fontId="20" fillId="0" borderId="0" xfId="104" applyFont="1" applyFill="1" applyAlignment="1">
      <alignment horizontal="center" vertical="center"/>
    </xf>
    <xf numFmtId="0" fontId="20" fillId="0" borderId="1" xfId="101" applyFont="1" applyFill="1" applyBorder="1" applyAlignment="1">
      <alignment horizontal="left" vertical="center" wrapText="1"/>
    </xf>
    <xf numFmtId="0" fontId="26" fillId="0" borderId="1" xfId="101" applyNumberFormat="1" applyFont="1" applyFill="1" applyBorder="1" applyAlignment="1" applyProtection="1">
      <alignment horizontal="left" vertical="center" wrapText="1"/>
    </xf>
    <xf numFmtId="0" fontId="20" fillId="0" borderId="1" xfId="101" applyNumberFormat="1" applyFont="1" applyFill="1" applyBorder="1" applyAlignment="1" applyProtection="1">
      <alignment horizontal="left" vertical="center" wrapText="1"/>
    </xf>
    <xf numFmtId="0" fontId="20" fillId="0" borderId="1" xfId="103" quotePrefix="1" applyNumberFormat="1" applyFont="1" applyFill="1" applyBorder="1" applyAlignment="1" applyProtection="1">
      <alignment horizontal="justify" vertical="center" wrapText="1"/>
    </xf>
    <xf numFmtId="0" fontId="20" fillId="0" borderId="0" xfId="101" applyFont="1" applyFill="1" applyAlignment="1">
      <alignment horizontal="center"/>
    </xf>
    <xf numFmtId="49" fontId="26" fillId="0" borderId="1" xfId="102" applyNumberFormat="1" applyFont="1" applyFill="1" applyBorder="1" applyAlignment="1">
      <alignment horizontal="center" vertical="center"/>
    </xf>
    <xf numFmtId="49" fontId="20" fillId="0" borderId="1" xfId="102" applyNumberFormat="1" applyFont="1" applyFill="1" applyBorder="1" applyAlignment="1">
      <alignment horizontal="center" vertical="center"/>
    </xf>
    <xf numFmtId="0" fontId="20" fillId="0" borderId="1" xfId="101" applyFont="1" applyFill="1" applyBorder="1" applyAlignment="1">
      <alignment horizontal="center" vertical="center"/>
    </xf>
    <xf numFmtId="0" fontId="26" fillId="0" borderId="1" xfId="101" applyFont="1" applyFill="1" applyBorder="1" applyAlignment="1">
      <alignment horizontal="center" vertical="center"/>
    </xf>
    <xf numFmtId="3" fontId="20" fillId="0" borderId="1" xfId="101" applyNumberFormat="1" applyFont="1" applyFill="1" applyBorder="1" applyAlignment="1">
      <alignment horizontal="center" vertical="center" wrapText="1"/>
    </xf>
    <xf numFmtId="3" fontId="26" fillId="0" borderId="1" xfId="101"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32" fillId="0" borderId="1" xfId="101" applyFont="1" applyFill="1" applyBorder="1" applyAlignment="1">
      <alignment horizontal="center" vertical="center"/>
    </xf>
    <xf numFmtId="0" fontId="26" fillId="0" borderId="1" xfId="34" applyFont="1" applyFill="1" applyBorder="1" applyAlignment="1">
      <alignment horizontal="center" vertical="center"/>
    </xf>
    <xf numFmtId="0" fontId="26" fillId="0" borderId="1" xfId="34" applyFont="1" applyFill="1" applyBorder="1" applyAlignment="1">
      <alignment horizontal="justify" vertical="center" wrapText="1"/>
    </xf>
    <xf numFmtId="167" fontId="26" fillId="0" borderId="1" xfId="34" applyNumberFormat="1" applyFont="1" applyFill="1" applyBorder="1" applyAlignment="1">
      <alignment horizontal="center" vertical="center"/>
    </xf>
    <xf numFmtId="0" fontId="20" fillId="0" borderId="1" xfId="34" applyFont="1" applyFill="1" applyBorder="1" applyAlignment="1">
      <alignment horizontal="center" vertical="center"/>
    </xf>
    <xf numFmtId="0" fontId="20" fillId="0" borderId="1" xfId="34" applyFont="1" applyFill="1" applyBorder="1" applyAlignment="1">
      <alignment horizontal="justify" vertical="center" wrapText="1"/>
    </xf>
    <xf numFmtId="49" fontId="35" fillId="0" borderId="1" xfId="12" applyNumberFormat="1" applyFont="1" applyFill="1" applyBorder="1" applyAlignment="1">
      <alignment horizontal="center" vertical="center"/>
    </xf>
    <xf numFmtId="0" fontId="20" fillId="0" borderId="0" xfId="101" applyFont="1" applyFill="1" applyAlignment="1">
      <alignment vertical="center"/>
    </xf>
    <xf numFmtId="0" fontId="20" fillId="0" borderId="1" xfId="104" applyFont="1" applyFill="1" applyBorder="1" applyAlignment="1">
      <alignment horizontal="center" vertical="center" wrapText="1"/>
    </xf>
    <xf numFmtId="166" fontId="20" fillId="0" borderId="1" xfId="104"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84" applyFont="1" applyBorder="1" applyAlignment="1">
      <alignment horizontal="center" vertical="center" wrapText="1"/>
    </xf>
    <xf numFmtId="49" fontId="26" fillId="0" borderId="1" xfId="0" applyNumberFormat="1" applyFont="1" applyBorder="1" applyAlignment="1">
      <alignment horizontal="center"/>
    </xf>
    <xf numFmtId="0" fontId="20" fillId="0" borderId="0" xfId="0" applyFont="1" applyAlignment="1">
      <alignment horizontal="right"/>
    </xf>
    <xf numFmtId="0" fontId="26" fillId="0" borderId="0" xfId="0" applyFont="1" applyAlignment="1">
      <alignment horizontal="center" wrapText="1"/>
    </xf>
    <xf numFmtId="49" fontId="26" fillId="0" borderId="11"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2" xfId="0" applyNumberFormat="1" applyFont="1" applyBorder="1" applyAlignment="1">
      <alignment horizontal="left" vertical="center"/>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101" applyFont="1" applyFill="1" applyBorder="1" applyAlignment="1">
      <alignment horizontal="right" vertical="center" wrapText="1"/>
    </xf>
    <xf numFmtId="0" fontId="20" fillId="0" borderId="0" xfId="101" applyFont="1" applyFill="1" applyBorder="1" applyAlignment="1">
      <alignment horizontal="right" vertical="center"/>
    </xf>
    <xf numFmtId="0" fontId="26" fillId="0" borderId="0" xfId="102" applyFont="1" applyFill="1" applyBorder="1" applyAlignment="1">
      <alignment horizontal="center" vertical="center" wrapText="1"/>
    </xf>
    <xf numFmtId="49" fontId="26" fillId="0" borderId="1" xfId="104" applyNumberFormat="1" applyFont="1" applyFill="1" applyBorder="1" applyAlignment="1">
      <alignment horizontal="center" vertical="top" wrapText="1"/>
    </xf>
    <xf numFmtId="0" fontId="26" fillId="0" borderId="1" xfId="104" applyFont="1" applyFill="1" applyBorder="1" applyAlignment="1">
      <alignment horizontal="center" vertical="center" wrapText="1"/>
    </xf>
    <xf numFmtId="49" fontId="26" fillId="0" borderId="1" xfId="104" applyNumberFormat="1" applyFont="1" applyFill="1" applyBorder="1" applyAlignment="1">
      <alignment horizontal="center" vertical="center" wrapText="1"/>
    </xf>
    <xf numFmtId="0" fontId="26" fillId="0" borderId="1" xfId="104" applyFont="1" applyFill="1" applyBorder="1" applyAlignment="1">
      <alignment horizontal="center" vertical="top" wrapText="1"/>
    </xf>
    <xf numFmtId="0" fontId="20" fillId="0" borderId="0" xfId="104" applyFont="1" applyFill="1" applyAlignment="1">
      <alignment horizontal="right"/>
    </xf>
    <xf numFmtId="0" fontId="26" fillId="0" borderId="0" xfId="104" applyFont="1" applyFill="1" applyAlignment="1">
      <alignment horizontal="center" wrapText="1"/>
    </xf>
    <xf numFmtId="0" fontId="20" fillId="0" borderId="1" xfId="104" applyFont="1" applyFill="1" applyBorder="1" applyAlignment="1">
      <alignment horizontal="center" vertical="center" wrapText="1"/>
    </xf>
    <xf numFmtId="167" fontId="20" fillId="0" borderId="1" xfId="104" applyNumberFormat="1" applyFont="1" applyFill="1" applyBorder="1" applyAlignment="1">
      <alignment horizontal="center" vertical="center" wrapText="1"/>
    </xf>
    <xf numFmtId="0" fontId="23" fillId="0" borderId="0" xfId="12" applyNumberFormat="1" applyFont="1" applyFill="1" applyAlignment="1">
      <alignment horizontal="right" vertical="center" wrapText="1"/>
    </xf>
    <xf numFmtId="0" fontId="27" fillId="0" borderId="0" xfId="12" applyNumberFormat="1" applyFont="1" applyFill="1" applyBorder="1" applyAlignment="1">
      <alignment horizontal="center" vertical="center" wrapText="1"/>
    </xf>
    <xf numFmtId="0" fontId="23" fillId="0" borderId="0" xfId="12" applyNumberFormat="1" applyFont="1" applyFill="1" applyAlignment="1">
      <alignment horizontal="right" vertical="top" wrapText="1"/>
    </xf>
    <xf numFmtId="0" fontId="27" fillId="0" borderId="0" xfId="12" applyNumberFormat="1" applyFont="1" applyFill="1" applyAlignment="1">
      <alignment horizontal="center" vertical="center" wrapText="1"/>
    </xf>
    <xf numFmtId="0" fontId="23" fillId="0" borderId="0" xfId="12" applyNumberFormat="1" applyFont="1" applyFill="1" applyBorder="1" applyAlignment="1">
      <alignment horizontal="right" vertical="center" wrapText="1"/>
    </xf>
    <xf numFmtId="0" fontId="23" fillId="0" borderId="0" xfId="13" applyNumberFormat="1" applyFont="1" applyFill="1" applyAlignment="1">
      <alignment horizontal="right" vertical="center" wrapText="1"/>
    </xf>
    <xf numFmtId="0" fontId="27" fillId="0" borderId="0" xfId="13" applyNumberFormat="1" applyFont="1" applyFill="1" applyAlignment="1">
      <alignment horizontal="center" vertical="center" wrapText="1"/>
    </xf>
    <xf numFmtId="166" fontId="23" fillId="0" borderId="0" xfId="13" applyNumberFormat="1" applyFont="1" applyFill="1" applyBorder="1" applyAlignment="1">
      <alignment horizontal="center" vertical="center" wrapText="1"/>
    </xf>
    <xf numFmtId="0" fontId="23" fillId="0" borderId="3" xfId="12" applyNumberFormat="1" applyFont="1" applyFill="1" applyBorder="1" applyAlignment="1">
      <alignment horizontal="center" vertical="center" wrapText="1"/>
    </xf>
    <xf numFmtId="0" fontId="23" fillId="0" borderId="10" xfId="12"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6" fillId="0" borderId="0" xfId="84" applyFont="1" applyAlignment="1">
      <alignment horizontal="center"/>
    </xf>
    <xf numFmtId="0" fontId="20" fillId="0" borderId="0" xfId="0" applyFont="1" applyFill="1" applyAlignment="1">
      <alignment horizontal="right"/>
    </xf>
    <xf numFmtId="0" fontId="20" fillId="0" borderId="1" xfId="84" applyFont="1" applyBorder="1" applyAlignment="1">
      <alignment horizontal="center" vertical="center" wrapText="1"/>
    </xf>
    <xf numFmtId="0" fontId="20" fillId="0" borderId="1" xfId="84" applyFont="1" applyBorder="1" applyAlignment="1">
      <alignment horizontal="left" vertical="center" wrapText="1"/>
    </xf>
    <xf numFmtId="0" fontId="20" fillId="0" borderId="11" xfId="84" applyFont="1" applyBorder="1" applyAlignment="1">
      <alignment horizontal="center" vertical="center" wrapText="1"/>
    </xf>
    <xf numFmtId="0" fontId="20" fillId="0" borderId="12" xfId="84" applyFont="1" applyBorder="1" applyAlignment="1">
      <alignment horizontal="center" vertical="center" wrapText="1"/>
    </xf>
    <xf numFmtId="0" fontId="20" fillId="0" borderId="2" xfId="84" applyFont="1" applyBorder="1" applyAlignment="1">
      <alignment horizontal="center" vertical="center" wrapText="1"/>
    </xf>
    <xf numFmtId="0" fontId="20" fillId="0" borderId="1" xfId="100" applyFont="1" applyBorder="1" applyAlignment="1">
      <alignment horizontal="center" vertical="center" wrapText="1"/>
    </xf>
    <xf numFmtId="0" fontId="20" fillId="0" borderId="0" xfId="90" applyFont="1" applyAlignment="1">
      <alignment horizontal="right" vertical="top" wrapText="1"/>
    </xf>
    <xf numFmtId="0" fontId="20" fillId="0" borderId="0" xfId="90" applyFont="1" applyAlignment="1">
      <alignment horizontal="left" vertical="top" wrapText="1"/>
    </xf>
    <xf numFmtId="168" fontId="20" fillId="0" borderId="0" xfId="91" applyNumberFormat="1" applyFont="1" applyAlignment="1">
      <alignment horizontal="right" vertical="top" wrapText="1"/>
    </xf>
    <xf numFmtId="0" fontId="26" fillId="0" borderId="0" xfId="90" applyFont="1" applyAlignment="1">
      <alignment horizontal="center" vertical="top" wrapText="1"/>
    </xf>
    <xf numFmtId="0" fontId="30" fillId="0" borderId="0" xfId="90" applyFont="1" applyAlignment="1">
      <alignment horizontal="left" vertical="center" wrapText="1"/>
    </xf>
    <xf numFmtId="0" fontId="27" fillId="0" borderId="1" xfId="12" applyNumberFormat="1" applyFont="1" applyFill="1" applyBorder="1" applyAlignment="1">
      <alignment horizontal="left" vertical="center" wrapText="1"/>
    </xf>
    <xf numFmtId="167" fontId="27" fillId="0" borderId="1" xfId="12" applyNumberFormat="1" applyFont="1" applyFill="1" applyBorder="1" applyAlignment="1">
      <alignment horizontal="center" vertical="center" wrapText="1"/>
    </xf>
    <xf numFmtId="0" fontId="23" fillId="0" borderId="1" xfId="12" applyNumberFormat="1" applyFont="1" applyFill="1" applyBorder="1" applyAlignment="1">
      <alignment horizontal="left" vertical="center" wrapText="1"/>
    </xf>
    <xf numFmtId="0" fontId="23" fillId="0" borderId="1" xfId="0" applyFont="1" applyBorder="1">
      <alignment wrapText="1"/>
    </xf>
    <xf numFmtId="0" fontId="20" fillId="0" borderId="1" xfId="0" applyFont="1" applyBorder="1">
      <alignment wrapText="1"/>
    </xf>
    <xf numFmtId="0" fontId="20" fillId="0" borderId="1" xfId="0" applyFont="1" applyFill="1" applyBorder="1">
      <alignment wrapText="1"/>
    </xf>
    <xf numFmtId="0" fontId="20" fillId="0" borderId="1" xfId="85" applyFont="1" applyBorder="1" applyAlignment="1">
      <alignment horizontal="left" wrapText="1"/>
    </xf>
  </cellXfs>
  <cellStyles count="106">
    <cellStyle name="Обычный" xfId="0" builtinId="0"/>
    <cellStyle name="Обычный 10" xfId="12"/>
    <cellStyle name="Обычный 10 2" xfId="104"/>
    <cellStyle name="Обычный 11" xfId="13"/>
    <cellStyle name="Обычный 11 2" xfId="35"/>
    <cellStyle name="Обычный 11 2 2" xfId="105"/>
    <cellStyle name="Обычный 12" xfId="24"/>
    <cellStyle name="Обычный 13" xfId="25"/>
    <cellStyle name="Обычный 13 2" xfId="22"/>
    <cellStyle name="Обычный 13 2 2" xfId="36"/>
    <cellStyle name="Обычный 13 2 2 2" xfId="63"/>
    <cellStyle name="Обычный 13 2 3" xfId="37"/>
    <cellStyle name="Обычный 13 2 4" xfId="64"/>
    <cellStyle name="Обычный 13 2 5" xfId="84"/>
    <cellStyle name="Обычный 13 3" xfId="38"/>
    <cellStyle name="Обычный 13 4" xfId="65"/>
    <cellStyle name="Обычный 14" xfId="39"/>
    <cellStyle name="Обычный 15" xfId="34"/>
    <cellStyle name="Обычный 2" xfId="1"/>
    <cellStyle name="Обычный 2 2" xfId="11"/>
    <cellStyle name="Обычный 2 2 2" xfId="40"/>
    <cellStyle name="Обычный 2 2 3" xfId="66"/>
    <cellStyle name="Обычный 2 3" xfId="14"/>
    <cellStyle name="Обычный 2 3 2" xfId="41"/>
    <cellStyle name="Обычный 2 3 3" xfId="67"/>
    <cellStyle name="Обычный 2 4" xfId="15"/>
    <cellStyle name="Обычный 2 4 2" xfId="42"/>
    <cellStyle name="Обычный 2 4 3" xfId="68"/>
    <cellStyle name="Обычный 2 5" xfId="16"/>
    <cellStyle name="Обычный 2 5 2" xfId="43"/>
    <cellStyle name="Обычный 2 5 3" xfId="69"/>
    <cellStyle name="Обычный 2 6" xfId="17"/>
    <cellStyle name="Обычный 2 6 2" xfId="44"/>
    <cellStyle name="Обычный 2 6 3" xfId="70"/>
    <cellStyle name="Обычный 2 7" xfId="18"/>
    <cellStyle name="Обычный 2 7 2" xfId="45"/>
    <cellStyle name="Обычный 2 7 3" xfId="71"/>
    <cellStyle name="Обычный 2 8" xfId="21"/>
    <cellStyle name="Обычный 2 8 2" xfId="26"/>
    <cellStyle name="Обычный 2 8 2 2" xfId="32"/>
    <cellStyle name="Обычный 2 8 2 3" xfId="61"/>
    <cellStyle name="Обычный 2 8 2 3 2" xfId="86"/>
    <cellStyle name="Обычный 2 8 2 3 3" xfId="88"/>
    <cellStyle name="Обычный 2 8 2 3 3 2" xfId="92"/>
    <cellStyle name="Обычный 2 8 2 3 3 3" xfId="94"/>
    <cellStyle name="Обычный 2 8 2 3 3 3 2" xfId="96"/>
    <cellStyle name="Обычный 2 8 2 3 3 3 2 2" xfId="98"/>
    <cellStyle name="Обычный 2 8 2 3 3 3 2 2 2" xfId="101"/>
    <cellStyle name="Обычный 2 8 3" xfId="27"/>
    <cellStyle name="Обычный 2 8 3 2" xfId="46"/>
    <cellStyle name="Обычный 2 8 3 3" xfId="72"/>
    <cellStyle name="Обычный 2 8 4" xfId="28"/>
    <cellStyle name="Обычный 2 8 4 2" xfId="47"/>
    <cellStyle name="Обычный 2 8 4 3" xfId="73"/>
    <cellStyle name="Обычный 2 8 5" xfId="29"/>
    <cellStyle name="Обычный 2 8 5 2" xfId="48"/>
    <cellStyle name="Обычный 2 8 5 3" xfId="74"/>
    <cellStyle name="Обычный 2 8 6" xfId="49"/>
    <cellStyle name="Обычный 2 8 6 2" xfId="75"/>
    <cellStyle name="Обычный 2 8 7" xfId="31"/>
    <cellStyle name="Обычный 2 8 7 2" xfId="33"/>
    <cellStyle name="Обычный 2 8 7 2 2" xfId="102"/>
    <cellStyle name="Обычный 2 8 7 3" xfId="62"/>
    <cellStyle name="Обычный 2 8 7 3 2" xfId="87"/>
    <cellStyle name="Обычный 2 8 7 3 3" xfId="89"/>
    <cellStyle name="Обычный 2 8 7 3 3 2" xfId="93"/>
    <cellStyle name="Обычный 2 8 7 3 3 3" xfId="95"/>
    <cellStyle name="Обычный 2 8 7 3 3 3 2" xfId="97"/>
    <cellStyle name="Обычный 2 8 7 3 3 3 2 2" xfId="99"/>
    <cellStyle name="Обычный 2 8 7 3 3 3 2 2 2" xfId="103"/>
    <cellStyle name="Обычный 2 8 8" xfId="50"/>
    <cellStyle name="Обычный 2 8 9" xfId="76"/>
    <cellStyle name="Обычный 2 9" xfId="51"/>
    <cellStyle name="Обычный 3" xfId="2"/>
    <cellStyle name="Обычный 3 2" xfId="52"/>
    <cellStyle name="Обычный 4" xfId="3"/>
    <cellStyle name="Обычный 4 2" xfId="9"/>
    <cellStyle name="Обычный 4 2 2" xfId="19"/>
    <cellStyle name="Обычный 4 2 2 2" xfId="20"/>
    <cellStyle name="Обычный 4 2 2 2 2" xfId="53"/>
    <cellStyle name="Обычный 4 2 2 2 2 2" xfId="100"/>
    <cellStyle name="Обычный 4 2 2 2 3" xfId="77"/>
    <cellStyle name="Обычный 4 2 2 3" xfId="54"/>
    <cellStyle name="Обычный 4 2 2 4" xfId="78"/>
    <cellStyle name="Обычный 4 2 3" xfId="30"/>
    <cellStyle name="Обычный 4 2 3 2" xfId="23"/>
    <cellStyle name="Обычный 4 2 3 2 2" xfId="55"/>
    <cellStyle name="Обычный 4 2 3 2 2 2" xfId="79"/>
    <cellStyle name="Обычный 4 2 3 2 3" xfId="56"/>
    <cellStyle name="Обычный 4 2 3 2 4" xfId="80"/>
    <cellStyle name="Обычный 4 2 3 2 5" xfId="85"/>
    <cellStyle name="Обычный 4 2 3 3" xfId="57"/>
    <cellStyle name="Обычный 4 2 3 4" xfId="81"/>
    <cellStyle name="Обычный 4 2 4" xfId="58"/>
    <cellStyle name="Обычный 4 2 5" xfId="82"/>
    <cellStyle name="Обычный 4 3" xfId="59"/>
    <cellStyle name="Обычный 4 4" xfId="83"/>
    <cellStyle name="Обычный 5" xfId="5"/>
    <cellStyle name="Обычный 6" xfId="6"/>
    <cellStyle name="Обычный 7" xfId="7"/>
    <cellStyle name="Обычный 8" xfId="8"/>
    <cellStyle name="Обычный 9" xfId="10"/>
    <cellStyle name="Обычный_приложение_Программа госзаимствований 2003" xfId="90"/>
    <cellStyle name="Финансовый [0] 2" xfId="91"/>
    <cellStyle name="Финансовый 2" xfId="4"/>
    <cellStyle name="Финансовый 2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workbookViewId="0">
      <selection activeCell="A4" sqref="A4"/>
    </sheetView>
  </sheetViews>
  <sheetFormatPr defaultColWidth="9.140625" defaultRowHeight="15.75"/>
  <cols>
    <col min="1" max="1" width="30.5703125" style="51" customWidth="1"/>
    <col min="2" max="2" width="49.5703125" style="51" customWidth="1"/>
    <col min="3" max="3" width="13.28515625" style="140" customWidth="1"/>
    <col min="4" max="4" width="13.85546875" style="51" customWidth="1"/>
    <col min="5" max="16384" width="9.140625" style="51"/>
  </cols>
  <sheetData>
    <row r="1" spans="1:4">
      <c r="A1" s="321" t="s">
        <v>391</v>
      </c>
      <c r="B1" s="321"/>
      <c r="C1" s="321"/>
      <c r="D1" s="321"/>
    </row>
    <row r="2" spans="1:4">
      <c r="A2" s="321" t="s">
        <v>844</v>
      </c>
      <c r="B2" s="321"/>
      <c r="C2" s="321"/>
      <c r="D2" s="321"/>
    </row>
    <row r="3" spans="1:4">
      <c r="A3" s="321" t="s">
        <v>875</v>
      </c>
      <c r="B3" s="321"/>
      <c r="C3" s="321"/>
      <c r="D3" s="321"/>
    </row>
    <row r="5" spans="1:4" ht="16.899999999999999" customHeight="1">
      <c r="A5" s="322" t="s">
        <v>392</v>
      </c>
      <c r="B5" s="322"/>
      <c r="C5" s="322"/>
      <c r="D5" s="322"/>
    </row>
    <row r="6" spans="1:4" ht="16.899999999999999" customHeight="1">
      <c r="A6" s="322" t="s">
        <v>482</v>
      </c>
      <c r="B6" s="322"/>
      <c r="C6" s="322"/>
      <c r="D6" s="322"/>
    </row>
    <row r="7" spans="1:4" ht="16.899999999999999" customHeight="1">
      <c r="A7" s="205"/>
      <c r="B7" s="205"/>
      <c r="C7" s="205"/>
      <c r="D7" s="205"/>
    </row>
    <row r="8" spans="1:4">
      <c r="D8" s="51" t="s">
        <v>474</v>
      </c>
    </row>
    <row r="9" spans="1:4" ht="47.25">
      <c r="A9" s="206" t="s">
        <v>393</v>
      </c>
      <c r="B9" s="207" t="s">
        <v>23</v>
      </c>
      <c r="C9" s="208" t="s">
        <v>473</v>
      </c>
      <c r="D9" s="208" t="s">
        <v>475</v>
      </c>
    </row>
    <row r="10" spans="1:4">
      <c r="A10" s="128" t="s">
        <v>5</v>
      </c>
      <c r="B10" s="129">
        <v>2</v>
      </c>
      <c r="C10" s="129">
        <v>3</v>
      </c>
      <c r="D10" s="130">
        <v>4</v>
      </c>
    </row>
    <row r="11" spans="1:4" ht="31.5">
      <c r="A11" s="131" t="s">
        <v>394</v>
      </c>
      <c r="B11" s="132" t="s">
        <v>395</v>
      </c>
      <c r="C11" s="133">
        <f>C14+C12</f>
        <v>-10000</v>
      </c>
      <c r="D11" s="133">
        <f>D14+D12</f>
        <v>-10000</v>
      </c>
    </row>
    <row r="12" spans="1:4" ht="47.25">
      <c r="A12" s="134" t="s">
        <v>396</v>
      </c>
      <c r="B12" s="135" t="s">
        <v>397</v>
      </c>
      <c r="C12" s="136">
        <f>C13</f>
        <v>29098</v>
      </c>
      <c r="D12" s="136">
        <f>D13</f>
        <v>0</v>
      </c>
    </row>
    <row r="13" spans="1:4" ht="47.25">
      <c r="A13" s="134" t="s">
        <v>439</v>
      </c>
      <c r="B13" s="135" t="s">
        <v>436</v>
      </c>
      <c r="C13" s="136">
        <v>29098</v>
      </c>
      <c r="D13" s="136">
        <v>0</v>
      </c>
    </row>
    <row r="14" spans="1:4" ht="63">
      <c r="A14" s="134" t="s">
        <v>398</v>
      </c>
      <c r="B14" s="135" t="s">
        <v>399</v>
      </c>
      <c r="C14" s="136">
        <f>C15+C16</f>
        <v>-39098</v>
      </c>
      <c r="D14" s="136">
        <f t="shared" ref="D14" si="0">D15+D16</f>
        <v>-10000</v>
      </c>
    </row>
    <row r="15" spans="1:4" ht="63">
      <c r="A15" s="134" t="s">
        <v>437</v>
      </c>
      <c r="B15" s="135" t="s">
        <v>400</v>
      </c>
      <c r="C15" s="137">
        <v>-10000</v>
      </c>
      <c r="D15" s="136">
        <v>-10000</v>
      </c>
    </row>
    <row r="16" spans="1:4" ht="63">
      <c r="A16" s="134" t="s">
        <v>440</v>
      </c>
      <c r="B16" s="135" t="s">
        <v>438</v>
      </c>
      <c r="C16" s="136">
        <v>-29098</v>
      </c>
      <c r="D16" s="136">
        <v>0</v>
      </c>
    </row>
    <row r="17" spans="1:4" ht="31.5">
      <c r="A17" s="131" t="s">
        <v>401</v>
      </c>
      <c r="B17" s="132" t="s">
        <v>402</v>
      </c>
      <c r="C17" s="133">
        <f>C18+C21</f>
        <v>21608.900000000023</v>
      </c>
      <c r="D17" s="133">
        <f t="shared" ref="D17" si="1">D18+D21</f>
        <v>-44691.099999999977</v>
      </c>
    </row>
    <row r="18" spans="1:4">
      <c r="A18" s="134" t="s">
        <v>403</v>
      </c>
      <c r="B18" s="135" t="s">
        <v>404</v>
      </c>
      <c r="C18" s="136">
        <f t="shared" ref="C18:D19" si="2">C19</f>
        <v>-901943.4</v>
      </c>
      <c r="D18" s="136">
        <f t="shared" si="2"/>
        <v>-881207.7</v>
      </c>
    </row>
    <row r="19" spans="1:4" ht="31.5">
      <c r="A19" s="134" t="s">
        <v>405</v>
      </c>
      <c r="B19" s="135" t="s">
        <v>406</v>
      </c>
      <c r="C19" s="136">
        <f t="shared" si="2"/>
        <v>-901943.4</v>
      </c>
      <c r="D19" s="136">
        <f t="shared" si="2"/>
        <v>-881207.7</v>
      </c>
    </row>
    <row r="20" spans="1:4" ht="31.5">
      <c r="A20" s="134" t="s">
        <v>407</v>
      </c>
      <c r="B20" s="135" t="s">
        <v>408</v>
      </c>
      <c r="C20" s="136">
        <f>-(872845.4+29098)</f>
        <v>-901943.4</v>
      </c>
      <c r="D20" s="127">
        <v>-881207.7</v>
      </c>
    </row>
    <row r="21" spans="1:4">
      <c r="A21" s="134" t="s">
        <v>409</v>
      </c>
      <c r="B21" s="135" t="s">
        <v>410</v>
      </c>
      <c r="C21" s="136">
        <f t="shared" ref="C21:D22" si="3">C22</f>
        <v>923552.3</v>
      </c>
      <c r="D21" s="136">
        <f t="shared" si="3"/>
        <v>836516.6</v>
      </c>
    </row>
    <row r="22" spans="1:4" ht="31.5">
      <c r="A22" s="134" t="s">
        <v>411</v>
      </c>
      <c r="B22" s="135" t="s">
        <v>412</v>
      </c>
      <c r="C22" s="136">
        <f t="shared" si="3"/>
        <v>923552.3</v>
      </c>
      <c r="D22" s="136">
        <f t="shared" si="3"/>
        <v>836516.6</v>
      </c>
    </row>
    <row r="23" spans="1:4" ht="31.5">
      <c r="A23" s="134" t="s">
        <v>413</v>
      </c>
      <c r="B23" s="135" t="s">
        <v>414</v>
      </c>
      <c r="C23" s="136">
        <f>884454.3+10000+29098</f>
        <v>923552.3</v>
      </c>
      <c r="D23" s="127">
        <v>836516.6</v>
      </c>
    </row>
    <row r="24" spans="1:4">
      <c r="A24" s="320" t="s">
        <v>415</v>
      </c>
      <c r="B24" s="320"/>
      <c r="C24" s="133">
        <f>C17+C11</f>
        <v>11608.900000000023</v>
      </c>
      <c r="D24" s="133">
        <f>D17+D11</f>
        <v>-54691.099999999977</v>
      </c>
    </row>
    <row r="26" spans="1:4">
      <c r="A26" s="138"/>
      <c r="B26" s="139"/>
    </row>
    <row r="27" spans="1:4">
      <c r="B27" s="141"/>
    </row>
  </sheetData>
  <mergeCells count="6">
    <mergeCell ref="A24:B24"/>
    <mergeCell ref="A1:D1"/>
    <mergeCell ref="A2:D2"/>
    <mergeCell ref="A3:D3"/>
    <mergeCell ref="A5:D5"/>
    <mergeCell ref="A6:D6"/>
  </mergeCells>
  <pageMargins left="0.78740157480314965" right="0.19685039370078741" top="0.19685039370078741" bottom="0.19685039370078741"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view="pageBreakPreview" topLeftCell="A4" zoomScaleNormal="85" zoomScaleSheetLayoutView="100" workbookViewId="0">
      <selection activeCell="J10" sqref="J10"/>
    </sheetView>
  </sheetViews>
  <sheetFormatPr defaultColWidth="9.140625" defaultRowHeight="15.75"/>
  <cols>
    <col min="1" max="1" width="6.28515625" style="108" customWidth="1"/>
    <col min="2" max="2" width="33.5703125" style="109" customWidth="1"/>
    <col min="3" max="3" width="26.7109375" style="109" customWidth="1"/>
    <col min="4" max="4" width="11" style="110" customWidth="1"/>
    <col min="5" max="5" width="11.7109375" style="110" customWidth="1"/>
    <col min="6" max="6" width="13.85546875" style="110" customWidth="1"/>
    <col min="7" max="7" width="9.140625" style="110" customWidth="1"/>
    <col min="8" max="8" width="10.5703125" style="110" customWidth="1"/>
    <col min="9" max="9" width="12.140625" style="110" customWidth="1"/>
    <col min="10" max="10" width="14.7109375" style="110" customWidth="1"/>
    <col min="11" max="11" width="10.140625" style="110" customWidth="1"/>
    <col min="12" max="12" width="7.7109375" style="110" customWidth="1"/>
    <col min="13" max="252" width="9.140625" style="109"/>
    <col min="253" max="253" width="5.5703125" style="109" customWidth="1"/>
    <col min="254" max="254" width="33.5703125" style="109" customWidth="1"/>
    <col min="255" max="255" width="15.5703125" style="109" customWidth="1"/>
    <col min="256" max="256" width="9.5703125" style="109" customWidth="1"/>
    <col min="257" max="257" width="11.7109375" style="109" customWidth="1"/>
    <col min="258" max="258" width="13.140625" style="109" customWidth="1"/>
    <col min="259" max="259" width="9.140625" style="109" customWidth="1"/>
    <col min="260" max="260" width="9.28515625" style="109" bestFit="1" customWidth="1"/>
    <col min="261" max="261" width="12.140625" style="109" customWidth="1"/>
    <col min="262" max="262" width="12.7109375" style="109" customWidth="1"/>
    <col min="263" max="263" width="9.42578125" style="109" customWidth="1"/>
    <col min="264" max="264" width="9.28515625" style="109" bestFit="1" customWidth="1"/>
    <col min="265" max="265" width="13.140625" style="109" customWidth="1"/>
    <col min="266" max="266" width="13.5703125" style="109" customWidth="1"/>
    <col min="267" max="267" width="9.5703125" style="109" customWidth="1"/>
    <col min="268" max="268" width="14.85546875" style="109" customWidth="1"/>
    <col min="269" max="508" width="9.140625" style="109"/>
    <col min="509" max="509" width="5.5703125" style="109" customWidth="1"/>
    <col min="510" max="510" width="33.5703125" style="109" customWidth="1"/>
    <col min="511" max="511" width="15.5703125" style="109" customWidth="1"/>
    <col min="512" max="512" width="9.5703125" style="109" customWidth="1"/>
    <col min="513" max="513" width="11.7109375" style="109" customWidth="1"/>
    <col min="514" max="514" width="13.140625" style="109" customWidth="1"/>
    <col min="515" max="515" width="9.140625" style="109" customWidth="1"/>
    <col min="516" max="516" width="9.28515625" style="109" bestFit="1" customWidth="1"/>
    <col min="517" max="517" width="12.140625" style="109" customWidth="1"/>
    <col min="518" max="518" width="12.7109375" style="109" customWidth="1"/>
    <col min="519" max="519" width="9.42578125" style="109" customWidth="1"/>
    <col min="520" max="520" width="9.28515625" style="109" bestFit="1" customWidth="1"/>
    <col min="521" max="521" width="13.140625" style="109" customWidth="1"/>
    <col min="522" max="522" width="13.5703125" style="109" customWidth="1"/>
    <col min="523" max="523" width="9.5703125" style="109" customWidth="1"/>
    <col min="524" max="524" width="14.85546875" style="109" customWidth="1"/>
    <col min="525" max="764" width="9.140625" style="109"/>
    <col min="765" max="765" width="5.5703125" style="109" customWidth="1"/>
    <col min="766" max="766" width="33.5703125" style="109" customWidth="1"/>
    <col min="767" max="767" width="15.5703125" style="109" customWidth="1"/>
    <col min="768" max="768" width="9.5703125" style="109" customWidth="1"/>
    <col min="769" max="769" width="11.7109375" style="109" customWidth="1"/>
    <col min="770" max="770" width="13.140625" style="109" customWidth="1"/>
    <col min="771" max="771" width="9.140625" style="109" customWidth="1"/>
    <col min="772" max="772" width="9.28515625" style="109" bestFit="1" customWidth="1"/>
    <col min="773" max="773" width="12.140625" style="109" customWidth="1"/>
    <col min="774" max="774" width="12.7109375" style="109" customWidth="1"/>
    <col min="775" max="775" width="9.42578125" style="109" customWidth="1"/>
    <col min="776" max="776" width="9.28515625" style="109" bestFit="1" customWidth="1"/>
    <col min="777" max="777" width="13.140625" style="109" customWidth="1"/>
    <col min="778" max="778" width="13.5703125" style="109" customWidth="1"/>
    <col min="779" max="779" width="9.5703125" style="109" customWidth="1"/>
    <col min="780" max="780" width="14.85546875" style="109" customWidth="1"/>
    <col min="781" max="1020" width="9.140625" style="109"/>
    <col min="1021" max="1021" width="5.5703125" style="109" customWidth="1"/>
    <col min="1022" max="1022" width="33.5703125" style="109" customWidth="1"/>
    <col min="1023" max="1023" width="15.5703125" style="109" customWidth="1"/>
    <col min="1024" max="1024" width="9.5703125" style="109" customWidth="1"/>
    <col min="1025" max="1025" width="11.7109375" style="109" customWidth="1"/>
    <col min="1026" max="1026" width="13.140625" style="109" customWidth="1"/>
    <col min="1027" max="1027" width="9.140625" style="109" customWidth="1"/>
    <col min="1028" max="1028" width="9.28515625" style="109" bestFit="1" customWidth="1"/>
    <col min="1029" max="1029" width="12.140625" style="109" customWidth="1"/>
    <col min="1030" max="1030" width="12.7109375" style="109" customWidth="1"/>
    <col min="1031" max="1031" width="9.42578125" style="109" customWidth="1"/>
    <col min="1032" max="1032" width="9.28515625" style="109" bestFit="1" customWidth="1"/>
    <col min="1033" max="1033" width="13.140625" style="109" customWidth="1"/>
    <col min="1034" max="1034" width="13.5703125" style="109" customWidth="1"/>
    <col min="1035" max="1035" width="9.5703125" style="109" customWidth="1"/>
    <col min="1036" max="1036" width="14.85546875" style="109" customWidth="1"/>
    <col min="1037" max="1276" width="9.140625" style="109"/>
    <col min="1277" max="1277" width="5.5703125" style="109" customWidth="1"/>
    <col min="1278" max="1278" width="33.5703125" style="109" customWidth="1"/>
    <col min="1279" max="1279" width="15.5703125" style="109" customWidth="1"/>
    <col min="1280" max="1280" width="9.5703125" style="109" customWidth="1"/>
    <col min="1281" max="1281" width="11.7109375" style="109" customWidth="1"/>
    <col min="1282" max="1282" width="13.140625" style="109" customWidth="1"/>
    <col min="1283" max="1283" width="9.140625" style="109" customWidth="1"/>
    <col min="1284" max="1284" width="9.28515625" style="109" bestFit="1" customWidth="1"/>
    <col min="1285" max="1285" width="12.140625" style="109" customWidth="1"/>
    <col min="1286" max="1286" width="12.7109375" style="109" customWidth="1"/>
    <col min="1287" max="1287" width="9.42578125" style="109" customWidth="1"/>
    <col min="1288" max="1288" width="9.28515625" style="109" bestFit="1" customWidth="1"/>
    <col min="1289" max="1289" width="13.140625" style="109" customWidth="1"/>
    <col min="1290" max="1290" width="13.5703125" style="109" customWidth="1"/>
    <col min="1291" max="1291" width="9.5703125" style="109" customWidth="1"/>
    <col min="1292" max="1292" width="14.85546875" style="109" customWidth="1"/>
    <col min="1293" max="1532" width="9.140625" style="109"/>
    <col min="1533" max="1533" width="5.5703125" style="109" customWidth="1"/>
    <col min="1534" max="1534" width="33.5703125" style="109" customWidth="1"/>
    <col min="1535" max="1535" width="15.5703125" style="109" customWidth="1"/>
    <col min="1536" max="1536" width="9.5703125" style="109" customWidth="1"/>
    <col min="1537" max="1537" width="11.7109375" style="109" customWidth="1"/>
    <col min="1538" max="1538" width="13.140625" style="109" customWidth="1"/>
    <col min="1539" max="1539" width="9.140625" style="109" customWidth="1"/>
    <col min="1540" max="1540" width="9.28515625" style="109" bestFit="1" customWidth="1"/>
    <col min="1541" max="1541" width="12.140625" style="109" customWidth="1"/>
    <col min="1542" max="1542" width="12.7109375" style="109" customWidth="1"/>
    <col min="1543" max="1543" width="9.42578125" style="109" customWidth="1"/>
    <col min="1544" max="1544" width="9.28515625" style="109" bestFit="1" customWidth="1"/>
    <col min="1545" max="1545" width="13.140625" style="109" customWidth="1"/>
    <col min="1546" max="1546" width="13.5703125" style="109" customWidth="1"/>
    <col min="1547" max="1547" width="9.5703125" style="109" customWidth="1"/>
    <col min="1548" max="1548" width="14.85546875" style="109" customWidth="1"/>
    <col min="1549" max="1788" width="9.140625" style="109"/>
    <col min="1789" max="1789" width="5.5703125" style="109" customWidth="1"/>
    <col min="1790" max="1790" width="33.5703125" style="109" customWidth="1"/>
    <col min="1791" max="1791" width="15.5703125" style="109" customWidth="1"/>
    <col min="1792" max="1792" width="9.5703125" style="109" customWidth="1"/>
    <col min="1793" max="1793" width="11.7109375" style="109" customWidth="1"/>
    <col min="1794" max="1794" width="13.140625" style="109" customWidth="1"/>
    <col min="1795" max="1795" width="9.140625" style="109" customWidth="1"/>
    <col min="1796" max="1796" width="9.28515625" style="109" bestFit="1" customWidth="1"/>
    <col min="1797" max="1797" width="12.140625" style="109" customWidth="1"/>
    <col min="1798" max="1798" width="12.7109375" style="109" customWidth="1"/>
    <col min="1799" max="1799" width="9.42578125" style="109" customWidth="1"/>
    <col min="1800" max="1800" width="9.28515625" style="109" bestFit="1" customWidth="1"/>
    <col min="1801" max="1801" width="13.140625" style="109" customWidth="1"/>
    <col min="1802" max="1802" width="13.5703125" style="109" customWidth="1"/>
    <col min="1803" max="1803" width="9.5703125" style="109" customWidth="1"/>
    <col min="1804" max="1804" width="14.85546875" style="109" customWidth="1"/>
    <col min="1805" max="2044" width="9.140625" style="109"/>
    <col min="2045" max="2045" width="5.5703125" style="109" customWidth="1"/>
    <col min="2046" max="2046" width="33.5703125" style="109" customWidth="1"/>
    <col min="2047" max="2047" width="15.5703125" style="109" customWidth="1"/>
    <col min="2048" max="2048" width="9.5703125" style="109" customWidth="1"/>
    <col min="2049" max="2049" width="11.7109375" style="109" customWidth="1"/>
    <col min="2050" max="2050" width="13.140625" style="109" customWidth="1"/>
    <col min="2051" max="2051" width="9.140625" style="109" customWidth="1"/>
    <col min="2052" max="2052" width="9.28515625" style="109" bestFit="1" customWidth="1"/>
    <col min="2053" max="2053" width="12.140625" style="109" customWidth="1"/>
    <col min="2054" max="2054" width="12.7109375" style="109" customWidth="1"/>
    <col min="2055" max="2055" width="9.42578125" style="109" customWidth="1"/>
    <col min="2056" max="2056" width="9.28515625" style="109" bestFit="1" customWidth="1"/>
    <col min="2057" max="2057" width="13.140625" style="109" customWidth="1"/>
    <col min="2058" max="2058" width="13.5703125" style="109" customWidth="1"/>
    <col min="2059" max="2059" width="9.5703125" style="109" customWidth="1"/>
    <col min="2060" max="2060" width="14.85546875" style="109" customWidth="1"/>
    <col min="2061" max="2300" width="9.140625" style="109"/>
    <col min="2301" max="2301" width="5.5703125" style="109" customWidth="1"/>
    <col min="2302" max="2302" width="33.5703125" style="109" customWidth="1"/>
    <col min="2303" max="2303" width="15.5703125" style="109" customWidth="1"/>
    <col min="2304" max="2304" width="9.5703125" style="109" customWidth="1"/>
    <col min="2305" max="2305" width="11.7109375" style="109" customWidth="1"/>
    <col min="2306" max="2306" width="13.140625" style="109" customWidth="1"/>
    <col min="2307" max="2307" width="9.140625" style="109" customWidth="1"/>
    <col min="2308" max="2308" width="9.28515625" style="109" bestFit="1" customWidth="1"/>
    <col min="2309" max="2309" width="12.140625" style="109" customWidth="1"/>
    <col min="2310" max="2310" width="12.7109375" style="109" customWidth="1"/>
    <col min="2311" max="2311" width="9.42578125" style="109" customWidth="1"/>
    <col min="2312" max="2312" width="9.28515625" style="109" bestFit="1" customWidth="1"/>
    <col min="2313" max="2313" width="13.140625" style="109" customWidth="1"/>
    <col min="2314" max="2314" width="13.5703125" style="109" customWidth="1"/>
    <col min="2315" max="2315" width="9.5703125" style="109" customWidth="1"/>
    <col min="2316" max="2316" width="14.85546875" style="109" customWidth="1"/>
    <col min="2317" max="2556" width="9.140625" style="109"/>
    <col min="2557" max="2557" width="5.5703125" style="109" customWidth="1"/>
    <col min="2558" max="2558" width="33.5703125" style="109" customWidth="1"/>
    <col min="2559" max="2559" width="15.5703125" style="109" customWidth="1"/>
    <col min="2560" max="2560" width="9.5703125" style="109" customWidth="1"/>
    <col min="2561" max="2561" width="11.7109375" style="109" customWidth="1"/>
    <col min="2562" max="2562" width="13.140625" style="109" customWidth="1"/>
    <col min="2563" max="2563" width="9.140625" style="109" customWidth="1"/>
    <col min="2564" max="2564" width="9.28515625" style="109" bestFit="1" customWidth="1"/>
    <col min="2565" max="2565" width="12.140625" style="109" customWidth="1"/>
    <col min="2566" max="2566" width="12.7109375" style="109" customWidth="1"/>
    <col min="2567" max="2567" width="9.42578125" style="109" customWidth="1"/>
    <col min="2568" max="2568" width="9.28515625" style="109" bestFit="1" customWidth="1"/>
    <col min="2569" max="2569" width="13.140625" style="109" customWidth="1"/>
    <col min="2570" max="2570" width="13.5703125" style="109" customWidth="1"/>
    <col min="2571" max="2571" width="9.5703125" style="109" customWidth="1"/>
    <col min="2572" max="2572" width="14.85546875" style="109" customWidth="1"/>
    <col min="2573" max="2812" width="9.140625" style="109"/>
    <col min="2813" max="2813" width="5.5703125" style="109" customWidth="1"/>
    <col min="2814" max="2814" width="33.5703125" style="109" customWidth="1"/>
    <col min="2815" max="2815" width="15.5703125" style="109" customWidth="1"/>
    <col min="2816" max="2816" width="9.5703125" style="109" customWidth="1"/>
    <col min="2817" max="2817" width="11.7109375" style="109" customWidth="1"/>
    <col min="2818" max="2818" width="13.140625" style="109" customWidth="1"/>
    <col min="2819" max="2819" width="9.140625" style="109" customWidth="1"/>
    <col min="2820" max="2820" width="9.28515625" style="109" bestFit="1" customWidth="1"/>
    <col min="2821" max="2821" width="12.140625" style="109" customWidth="1"/>
    <col min="2822" max="2822" width="12.7109375" style="109" customWidth="1"/>
    <col min="2823" max="2823" width="9.42578125" style="109" customWidth="1"/>
    <col min="2824" max="2824" width="9.28515625" style="109" bestFit="1" customWidth="1"/>
    <col min="2825" max="2825" width="13.140625" style="109" customWidth="1"/>
    <col min="2826" max="2826" width="13.5703125" style="109" customWidth="1"/>
    <col min="2827" max="2827" width="9.5703125" style="109" customWidth="1"/>
    <col min="2828" max="2828" width="14.85546875" style="109" customWidth="1"/>
    <col min="2829" max="3068" width="9.140625" style="109"/>
    <col min="3069" max="3069" width="5.5703125" style="109" customWidth="1"/>
    <col min="3070" max="3070" width="33.5703125" style="109" customWidth="1"/>
    <col min="3071" max="3071" width="15.5703125" style="109" customWidth="1"/>
    <col min="3072" max="3072" width="9.5703125" style="109" customWidth="1"/>
    <col min="3073" max="3073" width="11.7109375" style="109" customWidth="1"/>
    <col min="3074" max="3074" width="13.140625" style="109" customWidth="1"/>
    <col min="3075" max="3075" width="9.140625" style="109" customWidth="1"/>
    <col min="3076" max="3076" width="9.28515625" style="109" bestFit="1" customWidth="1"/>
    <col min="3077" max="3077" width="12.140625" style="109" customWidth="1"/>
    <col min="3078" max="3078" width="12.7109375" style="109" customWidth="1"/>
    <col min="3079" max="3079" width="9.42578125" style="109" customWidth="1"/>
    <col min="3080" max="3080" width="9.28515625" style="109" bestFit="1" customWidth="1"/>
    <col min="3081" max="3081" width="13.140625" style="109" customWidth="1"/>
    <col min="3082" max="3082" width="13.5703125" style="109" customWidth="1"/>
    <col min="3083" max="3083" width="9.5703125" style="109" customWidth="1"/>
    <col min="3084" max="3084" width="14.85546875" style="109" customWidth="1"/>
    <col min="3085" max="3324" width="9.140625" style="109"/>
    <col min="3325" max="3325" width="5.5703125" style="109" customWidth="1"/>
    <col min="3326" max="3326" width="33.5703125" style="109" customWidth="1"/>
    <col min="3327" max="3327" width="15.5703125" style="109" customWidth="1"/>
    <col min="3328" max="3328" width="9.5703125" style="109" customWidth="1"/>
    <col min="3329" max="3329" width="11.7109375" style="109" customWidth="1"/>
    <col min="3330" max="3330" width="13.140625" style="109" customWidth="1"/>
    <col min="3331" max="3331" width="9.140625" style="109" customWidth="1"/>
    <col min="3332" max="3332" width="9.28515625" style="109" bestFit="1" customWidth="1"/>
    <col min="3333" max="3333" width="12.140625" style="109" customWidth="1"/>
    <col min="3334" max="3334" width="12.7109375" style="109" customWidth="1"/>
    <col min="3335" max="3335" width="9.42578125" style="109" customWidth="1"/>
    <col min="3336" max="3336" width="9.28515625" style="109" bestFit="1" customWidth="1"/>
    <col min="3337" max="3337" width="13.140625" style="109" customWidth="1"/>
    <col min="3338" max="3338" width="13.5703125" style="109" customWidth="1"/>
    <col min="3339" max="3339" width="9.5703125" style="109" customWidth="1"/>
    <col min="3340" max="3340" width="14.85546875" style="109" customWidth="1"/>
    <col min="3341" max="3580" width="9.140625" style="109"/>
    <col min="3581" max="3581" width="5.5703125" style="109" customWidth="1"/>
    <col min="3582" max="3582" width="33.5703125" style="109" customWidth="1"/>
    <col min="3583" max="3583" width="15.5703125" style="109" customWidth="1"/>
    <col min="3584" max="3584" width="9.5703125" style="109" customWidth="1"/>
    <col min="3585" max="3585" width="11.7109375" style="109" customWidth="1"/>
    <col min="3586" max="3586" width="13.140625" style="109" customWidth="1"/>
    <col min="3587" max="3587" width="9.140625" style="109" customWidth="1"/>
    <col min="3588" max="3588" width="9.28515625" style="109" bestFit="1" customWidth="1"/>
    <col min="3589" max="3589" width="12.140625" style="109" customWidth="1"/>
    <col min="3590" max="3590" width="12.7109375" style="109" customWidth="1"/>
    <col min="3591" max="3591" width="9.42578125" style="109" customWidth="1"/>
    <col min="3592" max="3592" width="9.28515625" style="109" bestFit="1" customWidth="1"/>
    <col min="3593" max="3593" width="13.140625" style="109" customWidth="1"/>
    <col min="3594" max="3594" width="13.5703125" style="109" customWidth="1"/>
    <col min="3595" max="3595" width="9.5703125" style="109" customWidth="1"/>
    <col min="3596" max="3596" width="14.85546875" style="109" customWidth="1"/>
    <col min="3597" max="3836" width="9.140625" style="109"/>
    <col min="3837" max="3837" width="5.5703125" style="109" customWidth="1"/>
    <col min="3838" max="3838" width="33.5703125" style="109" customWidth="1"/>
    <col min="3839" max="3839" width="15.5703125" style="109" customWidth="1"/>
    <col min="3840" max="3840" width="9.5703125" style="109" customWidth="1"/>
    <col min="3841" max="3841" width="11.7109375" style="109" customWidth="1"/>
    <col min="3842" max="3842" width="13.140625" style="109" customWidth="1"/>
    <col min="3843" max="3843" width="9.140625" style="109" customWidth="1"/>
    <col min="3844" max="3844" width="9.28515625" style="109" bestFit="1" customWidth="1"/>
    <col min="3845" max="3845" width="12.140625" style="109" customWidth="1"/>
    <col min="3846" max="3846" width="12.7109375" style="109" customWidth="1"/>
    <col min="3847" max="3847" width="9.42578125" style="109" customWidth="1"/>
    <col min="3848" max="3848" width="9.28515625" style="109" bestFit="1" customWidth="1"/>
    <col min="3849" max="3849" width="13.140625" style="109" customWidth="1"/>
    <col min="3850" max="3850" width="13.5703125" style="109" customWidth="1"/>
    <col min="3851" max="3851" width="9.5703125" style="109" customWidth="1"/>
    <col min="3852" max="3852" width="14.85546875" style="109" customWidth="1"/>
    <col min="3853" max="4092" width="9.140625" style="109"/>
    <col min="4093" max="4093" width="5.5703125" style="109" customWidth="1"/>
    <col min="4094" max="4094" width="33.5703125" style="109" customWidth="1"/>
    <col min="4095" max="4095" width="15.5703125" style="109" customWidth="1"/>
    <col min="4096" max="4096" width="9.5703125" style="109" customWidth="1"/>
    <col min="4097" max="4097" width="11.7109375" style="109" customWidth="1"/>
    <col min="4098" max="4098" width="13.140625" style="109" customWidth="1"/>
    <col min="4099" max="4099" width="9.140625" style="109" customWidth="1"/>
    <col min="4100" max="4100" width="9.28515625" style="109" bestFit="1" customWidth="1"/>
    <col min="4101" max="4101" width="12.140625" style="109" customWidth="1"/>
    <col min="4102" max="4102" width="12.7109375" style="109" customWidth="1"/>
    <col min="4103" max="4103" width="9.42578125" style="109" customWidth="1"/>
    <col min="4104" max="4104" width="9.28515625" style="109" bestFit="1" customWidth="1"/>
    <col min="4105" max="4105" width="13.140625" style="109" customWidth="1"/>
    <col min="4106" max="4106" width="13.5703125" style="109" customWidth="1"/>
    <col min="4107" max="4107" width="9.5703125" style="109" customWidth="1"/>
    <col min="4108" max="4108" width="14.85546875" style="109" customWidth="1"/>
    <col min="4109" max="4348" width="9.140625" style="109"/>
    <col min="4349" max="4349" width="5.5703125" style="109" customWidth="1"/>
    <col min="4350" max="4350" width="33.5703125" style="109" customWidth="1"/>
    <col min="4351" max="4351" width="15.5703125" style="109" customWidth="1"/>
    <col min="4352" max="4352" width="9.5703125" style="109" customWidth="1"/>
    <col min="4353" max="4353" width="11.7109375" style="109" customWidth="1"/>
    <col min="4354" max="4354" width="13.140625" style="109" customWidth="1"/>
    <col min="4355" max="4355" width="9.140625" style="109" customWidth="1"/>
    <col min="4356" max="4356" width="9.28515625" style="109" bestFit="1" customWidth="1"/>
    <col min="4357" max="4357" width="12.140625" style="109" customWidth="1"/>
    <col min="4358" max="4358" width="12.7109375" style="109" customWidth="1"/>
    <col min="4359" max="4359" width="9.42578125" style="109" customWidth="1"/>
    <col min="4360" max="4360" width="9.28515625" style="109" bestFit="1" customWidth="1"/>
    <col min="4361" max="4361" width="13.140625" style="109" customWidth="1"/>
    <col min="4362" max="4362" width="13.5703125" style="109" customWidth="1"/>
    <col min="4363" max="4363" width="9.5703125" style="109" customWidth="1"/>
    <col min="4364" max="4364" width="14.85546875" style="109" customWidth="1"/>
    <col min="4365" max="4604" width="9.140625" style="109"/>
    <col min="4605" max="4605" width="5.5703125" style="109" customWidth="1"/>
    <col min="4606" max="4606" width="33.5703125" style="109" customWidth="1"/>
    <col min="4607" max="4607" width="15.5703125" style="109" customWidth="1"/>
    <col min="4608" max="4608" width="9.5703125" style="109" customWidth="1"/>
    <col min="4609" max="4609" width="11.7109375" style="109" customWidth="1"/>
    <col min="4610" max="4610" width="13.140625" style="109" customWidth="1"/>
    <col min="4611" max="4611" width="9.140625" style="109" customWidth="1"/>
    <col min="4612" max="4612" width="9.28515625" style="109" bestFit="1" customWidth="1"/>
    <col min="4613" max="4613" width="12.140625" style="109" customWidth="1"/>
    <col min="4614" max="4614" width="12.7109375" style="109" customWidth="1"/>
    <col min="4615" max="4615" width="9.42578125" style="109" customWidth="1"/>
    <col min="4616" max="4616" width="9.28515625" style="109" bestFit="1" customWidth="1"/>
    <col min="4617" max="4617" width="13.140625" style="109" customWidth="1"/>
    <col min="4618" max="4618" width="13.5703125" style="109" customWidth="1"/>
    <col min="4619" max="4619" width="9.5703125" style="109" customWidth="1"/>
    <col min="4620" max="4620" width="14.85546875" style="109" customWidth="1"/>
    <col min="4621" max="4860" width="9.140625" style="109"/>
    <col min="4861" max="4861" width="5.5703125" style="109" customWidth="1"/>
    <col min="4862" max="4862" width="33.5703125" style="109" customWidth="1"/>
    <col min="4863" max="4863" width="15.5703125" style="109" customWidth="1"/>
    <col min="4864" max="4864" width="9.5703125" style="109" customWidth="1"/>
    <col min="4865" max="4865" width="11.7109375" style="109" customWidth="1"/>
    <col min="4866" max="4866" width="13.140625" style="109" customWidth="1"/>
    <col min="4867" max="4867" width="9.140625" style="109" customWidth="1"/>
    <col min="4868" max="4868" width="9.28515625" style="109" bestFit="1" customWidth="1"/>
    <col min="4869" max="4869" width="12.140625" style="109" customWidth="1"/>
    <col min="4870" max="4870" width="12.7109375" style="109" customWidth="1"/>
    <col min="4871" max="4871" width="9.42578125" style="109" customWidth="1"/>
    <col min="4872" max="4872" width="9.28515625" style="109" bestFit="1" customWidth="1"/>
    <col min="4873" max="4873" width="13.140625" style="109" customWidth="1"/>
    <col min="4874" max="4874" width="13.5703125" style="109" customWidth="1"/>
    <col min="4875" max="4875" width="9.5703125" style="109" customWidth="1"/>
    <col min="4876" max="4876" width="14.85546875" style="109" customWidth="1"/>
    <col min="4877" max="5116" width="9.140625" style="109"/>
    <col min="5117" max="5117" width="5.5703125" style="109" customWidth="1"/>
    <col min="5118" max="5118" width="33.5703125" style="109" customWidth="1"/>
    <col min="5119" max="5119" width="15.5703125" style="109" customWidth="1"/>
    <col min="5120" max="5120" width="9.5703125" style="109" customWidth="1"/>
    <col min="5121" max="5121" width="11.7109375" style="109" customWidth="1"/>
    <col min="5122" max="5122" width="13.140625" style="109" customWidth="1"/>
    <col min="5123" max="5123" width="9.140625" style="109" customWidth="1"/>
    <col min="5124" max="5124" width="9.28515625" style="109" bestFit="1" customWidth="1"/>
    <col min="5125" max="5125" width="12.140625" style="109" customWidth="1"/>
    <col min="5126" max="5126" width="12.7109375" style="109" customWidth="1"/>
    <col min="5127" max="5127" width="9.42578125" style="109" customWidth="1"/>
    <col min="5128" max="5128" width="9.28515625" style="109" bestFit="1" customWidth="1"/>
    <col min="5129" max="5129" width="13.140625" style="109" customWidth="1"/>
    <col min="5130" max="5130" width="13.5703125" style="109" customWidth="1"/>
    <col min="5131" max="5131" width="9.5703125" style="109" customWidth="1"/>
    <col min="5132" max="5132" width="14.85546875" style="109" customWidth="1"/>
    <col min="5133" max="5372" width="9.140625" style="109"/>
    <col min="5373" max="5373" width="5.5703125" style="109" customWidth="1"/>
    <col min="5374" max="5374" width="33.5703125" style="109" customWidth="1"/>
    <col min="5375" max="5375" width="15.5703125" style="109" customWidth="1"/>
    <col min="5376" max="5376" width="9.5703125" style="109" customWidth="1"/>
    <col min="5377" max="5377" width="11.7109375" style="109" customWidth="1"/>
    <col min="5378" max="5378" width="13.140625" style="109" customWidth="1"/>
    <col min="5379" max="5379" width="9.140625" style="109" customWidth="1"/>
    <col min="5380" max="5380" width="9.28515625" style="109" bestFit="1" customWidth="1"/>
    <col min="5381" max="5381" width="12.140625" style="109" customWidth="1"/>
    <col min="5382" max="5382" width="12.7109375" style="109" customWidth="1"/>
    <col min="5383" max="5383" width="9.42578125" style="109" customWidth="1"/>
    <col min="5384" max="5384" width="9.28515625" style="109" bestFit="1" customWidth="1"/>
    <col min="5385" max="5385" width="13.140625" style="109" customWidth="1"/>
    <col min="5386" max="5386" width="13.5703125" style="109" customWidth="1"/>
    <col min="5387" max="5387" width="9.5703125" style="109" customWidth="1"/>
    <col min="5388" max="5388" width="14.85546875" style="109" customWidth="1"/>
    <col min="5389" max="5628" width="9.140625" style="109"/>
    <col min="5629" max="5629" width="5.5703125" style="109" customWidth="1"/>
    <col min="5630" max="5630" width="33.5703125" style="109" customWidth="1"/>
    <col min="5631" max="5631" width="15.5703125" style="109" customWidth="1"/>
    <col min="5632" max="5632" width="9.5703125" style="109" customWidth="1"/>
    <col min="5633" max="5633" width="11.7109375" style="109" customWidth="1"/>
    <col min="5634" max="5634" width="13.140625" style="109" customWidth="1"/>
    <col min="5635" max="5635" width="9.140625" style="109" customWidth="1"/>
    <col min="5636" max="5636" width="9.28515625" style="109" bestFit="1" customWidth="1"/>
    <col min="5637" max="5637" width="12.140625" style="109" customWidth="1"/>
    <col min="5638" max="5638" width="12.7109375" style="109" customWidth="1"/>
    <col min="5639" max="5639" width="9.42578125" style="109" customWidth="1"/>
    <col min="5640" max="5640" width="9.28515625" style="109" bestFit="1" customWidth="1"/>
    <col min="5641" max="5641" width="13.140625" style="109" customWidth="1"/>
    <col min="5642" max="5642" width="13.5703125" style="109" customWidth="1"/>
    <col min="5643" max="5643" width="9.5703125" style="109" customWidth="1"/>
    <col min="5644" max="5644" width="14.85546875" style="109" customWidth="1"/>
    <col min="5645" max="5884" width="9.140625" style="109"/>
    <col min="5885" max="5885" width="5.5703125" style="109" customWidth="1"/>
    <col min="5886" max="5886" width="33.5703125" style="109" customWidth="1"/>
    <col min="5887" max="5887" width="15.5703125" style="109" customWidth="1"/>
    <col min="5888" max="5888" width="9.5703125" style="109" customWidth="1"/>
    <col min="5889" max="5889" width="11.7109375" style="109" customWidth="1"/>
    <col min="5890" max="5890" width="13.140625" style="109" customWidth="1"/>
    <col min="5891" max="5891" width="9.140625" style="109" customWidth="1"/>
    <col min="5892" max="5892" width="9.28515625" style="109" bestFit="1" customWidth="1"/>
    <col min="5893" max="5893" width="12.140625" style="109" customWidth="1"/>
    <col min="5894" max="5894" width="12.7109375" style="109" customWidth="1"/>
    <col min="5895" max="5895" width="9.42578125" style="109" customWidth="1"/>
    <col min="5896" max="5896" width="9.28515625" style="109" bestFit="1" customWidth="1"/>
    <col min="5897" max="5897" width="13.140625" style="109" customWidth="1"/>
    <col min="5898" max="5898" width="13.5703125" style="109" customWidth="1"/>
    <col min="5899" max="5899" width="9.5703125" style="109" customWidth="1"/>
    <col min="5900" max="5900" width="14.85546875" style="109" customWidth="1"/>
    <col min="5901" max="6140" width="9.140625" style="109"/>
    <col min="6141" max="6141" width="5.5703125" style="109" customWidth="1"/>
    <col min="6142" max="6142" width="33.5703125" style="109" customWidth="1"/>
    <col min="6143" max="6143" width="15.5703125" style="109" customWidth="1"/>
    <col min="6144" max="6144" width="9.5703125" style="109" customWidth="1"/>
    <col min="6145" max="6145" width="11.7109375" style="109" customWidth="1"/>
    <col min="6146" max="6146" width="13.140625" style="109" customWidth="1"/>
    <col min="6147" max="6147" width="9.140625" style="109" customWidth="1"/>
    <col min="6148" max="6148" width="9.28515625" style="109" bestFit="1" customWidth="1"/>
    <col min="6149" max="6149" width="12.140625" style="109" customWidth="1"/>
    <col min="6150" max="6150" width="12.7109375" style="109" customWidth="1"/>
    <col min="6151" max="6151" width="9.42578125" style="109" customWidth="1"/>
    <col min="6152" max="6152" width="9.28515625" style="109" bestFit="1" customWidth="1"/>
    <col min="6153" max="6153" width="13.140625" style="109" customWidth="1"/>
    <col min="6154" max="6154" width="13.5703125" style="109" customWidth="1"/>
    <col min="6155" max="6155" width="9.5703125" style="109" customWidth="1"/>
    <col min="6156" max="6156" width="14.85546875" style="109" customWidth="1"/>
    <col min="6157" max="6396" width="9.140625" style="109"/>
    <col min="6397" max="6397" width="5.5703125" style="109" customWidth="1"/>
    <col min="6398" max="6398" width="33.5703125" style="109" customWidth="1"/>
    <col min="6399" max="6399" width="15.5703125" style="109" customWidth="1"/>
    <col min="6400" max="6400" width="9.5703125" style="109" customWidth="1"/>
    <col min="6401" max="6401" width="11.7109375" style="109" customWidth="1"/>
    <col min="6402" max="6402" width="13.140625" style="109" customWidth="1"/>
    <col min="6403" max="6403" width="9.140625" style="109" customWidth="1"/>
    <col min="6404" max="6404" width="9.28515625" style="109" bestFit="1" customWidth="1"/>
    <col min="6405" max="6405" width="12.140625" style="109" customWidth="1"/>
    <col min="6406" max="6406" width="12.7109375" style="109" customWidth="1"/>
    <col min="6407" max="6407" width="9.42578125" style="109" customWidth="1"/>
    <col min="6408" max="6408" width="9.28515625" style="109" bestFit="1" customWidth="1"/>
    <col min="6409" max="6409" width="13.140625" style="109" customWidth="1"/>
    <col min="6410" max="6410" width="13.5703125" style="109" customWidth="1"/>
    <col min="6411" max="6411" width="9.5703125" style="109" customWidth="1"/>
    <col min="6412" max="6412" width="14.85546875" style="109" customWidth="1"/>
    <col min="6413" max="6652" width="9.140625" style="109"/>
    <col min="6653" max="6653" width="5.5703125" style="109" customWidth="1"/>
    <col min="6654" max="6654" width="33.5703125" style="109" customWidth="1"/>
    <col min="6655" max="6655" width="15.5703125" style="109" customWidth="1"/>
    <col min="6656" max="6656" width="9.5703125" style="109" customWidth="1"/>
    <col min="6657" max="6657" width="11.7109375" style="109" customWidth="1"/>
    <col min="6658" max="6658" width="13.140625" style="109" customWidth="1"/>
    <col min="6659" max="6659" width="9.140625" style="109" customWidth="1"/>
    <col min="6660" max="6660" width="9.28515625" style="109" bestFit="1" customWidth="1"/>
    <col min="6661" max="6661" width="12.140625" style="109" customWidth="1"/>
    <col min="6662" max="6662" width="12.7109375" style="109" customWidth="1"/>
    <col min="6663" max="6663" width="9.42578125" style="109" customWidth="1"/>
    <col min="6664" max="6664" width="9.28515625" style="109" bestFit="1" customWidth="1"/>
    <col min="6665" max="6665" width="13.140625" style="109" customWidth="1"/>
    <col min="6666" max="6666" width="13.5703125" style="109" customWidth="1"/>
    <col min="6667" max="6667" width="9.5703125" style="109" customWidth="1"/>
    <col min="6668" max="6668" width="14.85546875" style="109" customWidth="1"/>
    <col min="6669" max="6908" width="9.140625" style="109"/>
    <col min="6909" max="6909" width="5.5703125" style="109" customWidth="1"/>
    <col min="6910" max="6910" width="33.5703125" style="109" customWidth="1"/>
    <col min="6911" max="6911" width="15.5703125" style="109" customWidth="1"/>
    <col min="6912" max="6912" width="9.5703125" style="109" customWidth="1"/>
    <col min="6913" max="6913" width="11.7109375" style="109" customWidth="1"/>
    <col min="6914" max="6914" width="13.140625" style="109" customWidth="1"/>
    <col min="6915" max="6915" width="9.140625" style="109" customWidth="1"/>
    <col min="6916" max="6916" width="9.28515625" style="109" bestFit="1" customWidth="1"/>
    <col min="6917" max="6917" width="12.140625" style="109" customWidth="1"/>
    <col min="6918" max="6918" width="12.7109375" style="109" customWidth="1"/>
    <col min="6919" max="6919" width="9.42578125" style="109" customWidth="1"/>
    <col min="6920" max="6920" width="9.28515625" style="109" bestFit="1" customWidth="1"/>
    <col min="6921" max="6921" width="13.140625" style="109" customWidth="1"/>
    <col min="6922" max="6922" width="13.5703125" style="109" customWidth="1"/>
    <col min="6923" max="6923" width="9.5703125" style="109" customWidth="1"/>
    <col min="6924" max="6924" width="14.85546875" style="109" customWidth="1"/>
    <col min="6925" max="7164" width="9.140625" style="109"/>
    <col min="7165" max="7165" width="5.5703125" style="109" customWidth="1"/>
    <col min="7166" max="7166" width="33.5703125" style="109" customWidth="1"/>
    <col min="7167" max="7167" width="15.5703125" style="109" customWidth="1"/>
    <col min="7168" max="7168" width="9.5703125" style="109" customWidth="1"/>
    <col min="7169" max="7169" width="11.7109375" style="109" customWidth="1"/>
    <col min="7170" max="7170" width="13.140625" style="109" customWidth="1"/>
    <col min="7171" max="7171" width="9.140625" style="109" customWidth="1"/>
    <col min="7172" max="7172" width="9.28515625" style="109" bestFit="1" customWidth="1"/>
    <col min="7173" max="7173" width="12.140625" style="109" customWidth="1"/>
    <col min="7174" max="7174" width="12.7109375" style="109" customWidth="1"/>
    <col min="7175" max="7175" width="9.42578125" style="109" customWidth="1"/>
    <col min="7176" max="7176" width="9.28515625" style="109" bestFit="1" customWidth="1"/>
    <col min="7177" max="7177" width="13.140625" style="109" customWidth="1"/>
    <col min="7178" max="7178" width="13.5703125" style="109" customWidth="1"/>
    <col min="7179" max="7179" width="9.5703125" style="109" customWidth="1"/>
    <col min="7180" max="7180" width="14.85546875" style="109" customWidth="1"/>
    <col min="7181" max="7420" width="9.140625" style="109"/>
    <col min="7421" max="7421" width="5.5703125" style="109" customWidth="1"/>
    <col min="7422" max="7422" width="33.5703125" style="109" customWidth="1"/>
    <col min="7423" max="7423" width="15.5703125" style="109" customWidth="1"/>
    <col min="7424" max="7424" width="9.5703125" style="109" customWidth="1"/>
    <col min="7425" max="7425" width="11.7109375" style="109" customWidth="1"/>
    <col min="7426" max="7426" width="13.140625" style="109" customWidth="1"/>
    <col min="7427" max="7427" width="9.140625" style="109" customWidth="1"/>
    <col min="7428" max="7428" width="9.28515625" style="109" bestFit="1" customWidth="1"/>
    <col min="7429" max="7429" width="12.140625" style="109" customWidth="1"/>
    <col min="7430" max="7430" width="12.7109375" style="109" customWidth="1"/>
    <col min="7431" max="7431" width="9.42578125" style="109" customWidth="1"/>
    <col min="7432" max="7432" width="9.28515625" style="109" bestFit="1" customWidth="1"/>
    <col min="7433" max="7433" width="13.140625" style="109" customWidth="1"/>
    <col min="7434" max="7434" width="13.5703125" style="109" customWidth="1"/>
    <col min="7435" max="7435" width="9.5703125" style="109" customWidth="1"/>
    <col min="7436" max="7436" width="14.85546875" style="109" customWidth="1"/>
    <col min="7437" max="7676" width="9.140625" style="109"/>
    <col min="7677" max="7677" width="5.5703125" style="109" customWidth="1"/>
    <col min="7678" max="7678" width="33.5703125" style="109" customWidth="1"/>
    <col min="7679" max="7679" width="15.5703125" style="109" customWidth="1"/>
    <col min="7680" max="7680" width="9.5703125" style="109" customWidth="1"/>
    <col min="7681" max="7681" width="11.7109375" style="109" customWidth="1"/>
    <col min="7682" max="7682" width="13.140625" style="109" customWidth="1"/>
    <col min="7683" max="7683" width="9.140625" style="109" customWidth="1"/>
    <col min="7684" max="7684" width="9.28515625" style="109" bestFit="1" customWidth="1"/>
    <col min="7685" max="7685" width="12.140625" style="109" customWidth="1"/>
    <col min="7686" max="7686" width="12.7109375" style="109" customWidth="1"/>
    <col min="7687" max="7687" width="9.42578125" style="109" customWidth="1"/>
    <col min="7688" max="7688" width="9.28515625" style="109" bestFit="1" customWidth="1"/>
    <col min="7689" max="7689" width="13.140625" style="109" customWidth="1"/>
    <col min="7690" max="7690" width="13.5703125" style="109" customWidth="1"/>
    <col min="7691" max="7691" width="9.5703125" style="109" customWidth="1"/>
    <col min="7692" max="7692" width="14.85546875" style="109" customWidth="1"/>
    <col min="7693" max="7932" width="9.140625" style="109"/>
    <col min="7933" max="7933" width="5.5703125" style="109" customWidth="1"/>
    <col min="7934" max="7934" width="33.5703125" style="109" customWidth="1"/>
    <col min="7935" max="7935" width="15.5703125" style="109" customWidth="1"/>
    <col min="7936" max="7936" width="9.5703125" style="109" customWidth="1"/>
    <col min="7937" max="7937" width="11.7109375" style="109" customWidth="1"/>
    <col min="7938" max="7938" width="13.140625" style="109" customWidth="1"/>
    <col min="7939" max="7939" width="9.140625" style="109" customWidth="1"/>
    <col min="7940" max="7940" width="9.28515625" style="109" bestFit="1" customWidth="1"/>
    <col min="7941" max="7941" width="12.140625" style="109" customWidth="1"/>
    <col min="7942" max="7942" width="12.7109375" style="109" customWidth="1"/>
    <col min="7943" max="7943" width="9.42578125" style="109" customWidth="1"/>
    <col min="7944" max="7944" width="9.28515625" style="109" bestFit="1" customWidth="1"/>
    <col min="7945" max="7945" width="13.140625" style="109" customWidth="1"/>
    <col min="7946" max="7946" width="13.5703125" style="109" customWidth="1"/>
    <col min="7947" max="7947" width="9.5703125" style="109" customWidth="1"/>
    <col min="7948" max="7948" width="14.85546875" style="109" customWidth="1"/>
    <col min="7949" max="8188" width="9.140625" style="109"/>
    <col min="8189" max="8189" width="5.5703125" style="109" customWidth="1"/>
    <col min="8190" max="8190" width="33.5703125" style="109" customWidth="1"/>
    <col min="8191" max="8191" width="15.5703125" style="109" customWidth="1"/>
    <col min="8192" max="8192" width="9.5703125" style="109" customWidth="1"/>
    <col min="8193" max="8193" width="11.7109375" style="109" customWidth="1"/>
    <col min="8194" max="8194" width="13.140625" style="109" customWidth="1"/>
    <col min="8195" max="8195" width="9.140625" style="109" customWidth="1"/>
    <col min="8196" max="8196" width="9.28515625" style="109" bestFit="1" customWidth="1"/>
    <col min="8197" max="8197" width="12.140625" style="109" customWidth="1"/>
    <col min="8198" max="8198" width="12.7109375" style="109" customWidth="1"/>
    <col min="8199" max="8199" width="9.42578125" style="109" customWidth="1"/>
    <col min="8200" max="8200" width="9.28515625" style="109" bestFit="1" customWidth="1"/>
    <col min="8201" max="8201" width="13.140625" style="109" customWidth="1"/>
    <col min="8202" max="8202" width="13.5703125" style="109" customWidth="1"/>
    <col min="8203" max="8203" width="9.5703125" style="109" customWidth="1"/>
    <col min="8204" max="8204" width="14.85546875" style="109" customWidth="1"/>
    <col min="8205" max="8444" width="9.140625" style="109"/>
    <col min="8445" max="8445" width="5.5703125" style="109" customWidth="1"/>
    <col min="8446" max="8446" width="33.5703125" style="109" customWidth="1"/>
    <col min="8447" max="8447" width="15.5703125" style="109" customWidth="1"/>
    <col min="8448" max="8448" width="9.5703125" style="109" customWidth="1"/>
    <col min="8449" max="8449" width="11.7109375" style="109" customWidth="1"/>
    <col min="8450" max="8450" width="13.140625" style="109" customWidth="1"/>
    <col min="8451" max="8451" width="9.140625" style="109" customWidth="1"/>
    <col min="8452" max="8452" width="9.28515625" style="109" bestFit="1" customWidth="1"/>
    <col min="8453" max="8453" width="12.140625" style="109" customWidth="1"/>
    <col min="8454" max="8454" width="12.7109375" style="109" customWidth="1"/>
    <col min="8455" max="8455" width="9.42578125" style="109" customWidth="1"/>
    <col min="8456" max="8456" width="9.28515625" style="109" bestFit="1" customWidth="1"/>
    <col min="8457" max="8457" width="13.140625" style="109" customWidth="1"/>
    <col min="8458" max="8458" width="13.5703125" style="109" customWidth="1"/>
    <col min="8459" max="8459" width="9.5703125" style="109" customWidth="1"/>
    <col min="8460" max="8460" width="14.85546875" style="109" customWidth="1"/>
    <col min="8461" max="8700" width="9.140625" style="109"/>
    <col min="8701" max="8701" width="5.5703125" style="109" customWidth="1"/>
    <col min="8702" max="8702" width="33.5703125" style="109" customWidth="1"/>
    <col min="8703" max="8703" width="15.5703125" style="109" customWidth="1"/>
    <col min="8704" max="8704" width="9.5703125" style="109" customWidth="1"/>
    <col min="8705" max="8705" width="11.7109375" style="109" customWidth="1"/>
    <col min="8706" max="8706" width="13.140625" style="109" customWidth="1"/>
    <col min="8707" max="8707" width="9.140625" style="109" customWidth="1"/>
    <col min="8708" max="8708" width="9.28515625" style="109" bestFit="1" customWidth="1"/>
    <col min="8709" max="8709" width="12.140625" style="109" customWidth="1"/>
    <col min="8710" max="8710" width="12.7109375" style="109" customWidth="1"/>
    <col min="8711" max="8711" width="9.42578125" style="109" customWidth="1"/>
    <col min="8712" max="8712" width="9.28515625" style="109" bestFit="1" customWidth="1"/>
    <col min="8713" max="8713" width="13.140625" style="109" customWidth="1"/>
    <col min="8714" max="8714" width="13.5703125" style="109" customWidth="1"/>
    <col min="8715" max="8715" width="9.5703125" style="109" customWidth="1"/>
    <col min="8716" max="8716" width="14.85546875" style="109" customWidth="1"/>
    <col min="8717" max="8956" width="9.140625" style="109"/>
    <col min="8957" max="8957" width="5.5703125" style="109" customWidth="1"/>
    <col min="8958" max="8958" width="33.5703125" style="109" customWidth="1"/>
    <col min="8959" max="8959" width="15.5703125" style="109" customWidth="1"/>
    <col min="8960" max="8960" width="9.5703125" style="109" customWidth="1"/>
    <col min="8961" max="8961" width="11.7109375" style="109" customWidth="1"/>
    <col min="8962" max="8962" width="13.140625" style="109" customWidth="1"/>
    <col min="8963" max="8963" width="9.140625" style="109" customWidth="1"/>
    <col min="8964" max="8964" width="9.28515625" style="109" bestFit="1" customWidth="1"/>
    <col min="8965" max="8965" width="12.140625" style="109" customWidth="1"/>
    <col min="8966" max="8966" width="12.7109375" style="109" customWidth="1"/>
    <col min="8967" max="8967" width="9.42578125" style="109" customWidth="1"/>
    <col min="8968" max="8968" width="9.28515625" style="109" bestFit="1" customWidth="1"/>
    <col min="8969" max="8969" width="13.140625" style="109" customWidth="1"/>
    <col min="8970" max="8970" width="13.5703125" style="109" customWidth="1"/>
    <col min="8971" max="8971" width="9.5703125" style="109" customWidth="1"/>
    <col min="8972" max="8972" width="14.85546875" style="109" customWidth="1"/>
    <col min="8973" max="9212" width="9.140625" style="109"/>
    <col min="9213" max="9213" width="5.5703125" style="109" customWidth="1"/>
    <col min="9214" max="9214" width="33.5703125" style="109" customWidth="1"/>
    <col min="9215" max="9215" width="15.5703125" style="109" customWidth="1"/>
    <col min="9216" max="9216" width="9.5703125" style="109" customWidth="1"/>
    <col min="9217" max="9217" width="11.7109375" style="109" customWidth="1"/>
    <col min="9218" max="9218" width="13.140625" style="109" customWidth="1"/>
    <col min="9219" max="9219" width="9.140625" style="109" customWidth="1"/>
    <col min="9220" max="9220" width="9.28515625" style="109" bestFit="1" customWidth="1"/>
    <col min="9221" max="9221" width="12.140625" style="109" customWidth="1"/>
    <col min="9222" max="9222" width="12.7109375" style="109" customWidth="1"/>
    <col min="9223" max="9223" width="9.42578125" style="109" customWidth="1"/>
    <col min="9224" max="9224" width="9.28515625" style="109" bestFit="1" customWidth="1"/>
    <col min="9225" max="9225" width="13.140625" style="109" customWidth="1"/>
    <col min="9226" max="9226" width="13.5703125" style="109" customWidth="1"/>
    <col min="9227" max="9227" width="9.5703125" style="109" customWidth="1"/>
    <col min="9228" max="9228" width="14.85546875" style="109" customWidth="1"/>
    <col min="9229" max="9468" width="9.140625" style="109"/>
    <col min="9469" max="9469" width="5.5703125" style="109" customWidth="1"/>
    <col min="9470" max="9470" width="33.5703125" style="109" customWidth="1"/>
    <col min="9471" max="9471" width="15.5703125" style="109" customWidth="1"/>
    <col min="9472" max="9472" width="9.5703125" style="109" customWidth="1"/>
    <col min="9473" max="9473" width="11.7109375" style="109" customWidth="1"/>
    <col min="9474" max="9474" width="13.140625" style="109" customWidth="1"/>
    <col min="9475" max="9475" width="9.140625" style="109" customWidth="1"/>
    <col min="9476" max="9476" width="9.28515625" style="109" bestFit="1" customWidth="1"/>
    <col min="9477" max="9477" width="12.140625" style="109" customWidth="1"/>
    <col min="9478" max="9478" width="12.7109375" style="109" customWidth="1"/>
    <col min="9479" max="9479" width="9.42578125" style="109" customWidth="1"/>
    <col min="9480" max="9480" width="9.28515625" style="109" bestFit="1" customWidth="1"/>
    <col min="9481" max="9481" width="13.140625" style="109" customWidth="1"/>
    <col min="9482" max="9482" width="13.5703125" style="109" customWidth="1"/>
    <col min="9483" max="9483" width="9.5703125" style="109" customWidth="1"/>
    <col min="9484" max="9484" width="14.85546875" style="109" customWidth="1"/>
    <col min="9485" max="9724" width="9.140625" style="109"/>
    <col min="9725" max="9725" width="5.5703125" style="109" customWidth="1"/>
    <col min="9726" max="9726" width="33.5703125" style="109" customWidth="1"/>
    <col min="9727" max="9727" width="15.5703125" style="109" customWidth="1"/>
    <col min="9728" max="9728" width="9.5703125" style="109" customWidth="1"/>
    <col min="9729" max="9729" width="11.7109375" style="109" customWidth="1"/>
    <col min="9730" max="9730" width="13.140625" style="109" customWidth="1"/>
    <col min="9731" max="9731" width="9.140625" style="109" customWidth="1"/>
    <col min="9732" max="9732" width="9.28515625" style="109" bestFit="1" customWidth="1"/>
    <col min="9733" max="9733" width="12.140625" style="109" customWidth="1"/>
    <col min="9734" max="9734" width="12.7109375" style="109" customWidth="1"/>
    <col min="9735" max="9735" width="9.42578125" style="109" customWidth="1"/>
    <col min="9736" max="9736" width="9.28515625" style="109" bestFit="1" customWidth="1"/>
    <col min="9737" max="9737" width="13.140625" style="109" customWidth="1"/>
    <col min="9738" max="9738" width="13.5703125" style="109" customWidth="1"/>
    <col min="9739" max="9739" width="9.5703125" style="109" customWidth="1"/>
    <col min="9740" max="9740" width="14.85546875" style="109" customWidth="1"/>
    <col min="9741" max="9980" width="9.140625" style="109"/>
    <col min="9981" max="9981" width="5.5703125" style="109" customWidth="1"/>
    <col min="9982" max="9982" width="33.5703125" style="109" customWidth="1"/>
    <col min="9983" max="9983" width="15.5703125" style="109" customWidth="1"/>
    <col min="9984" max="9984" width="9.5703125" style="109" customWidth="1"/>
    <col min="9985" max="9985" width="11.7109375" style="109" customWidth="1"/>
    <col min="9986" max="9986" width="13.140625" style="109" customWidth="1"/>
    <col min="9987" max="9987" width="9.140625" style="109" customWidth="1"/>
    <col min="9988" max="9988" width="9.28515625" style="109" bestFit="1" customWidth="1"/>
    <col min="9989" max="9989" width="12.140625" style="109" customWidth="1"/>
    <col min="9990" max="9990" width="12.7109375" style="109" customWidth="1"/>
    <col min="9991" max="9991" width="9.42578125" style="109" customWidth="1"/>
    <col min="9992" max="9992" width="9.28515625" style="109" bestFit="1" customWidth="1"/>
    <col min="9993" max="9993" width="13.140625" style="109" customWidth="1"/>
    <col min="9994" max="9994" width="13.5703125" style="109" customWidth="1"/>
    <col min="9995" max="9995" width="9.5703125" style="109" customWidth="1"/>
    <col min="9996" max="9996" width="14.85546875" style="109" customWidth="1"/>
    <col min="9997" max="10236" width="9.140625" style="109"/>
    <col min="10237" max="10237" width="5.5703125" style="109" customWidth="1"/>
    <col min="10238" max="10238" width="33.5703125" style="109" customWidth="1"/>
    <col min="10239" max="10239" width="15.5703125" style="109" customWidth="1"/>
    <col min="10240" max="10240" width="9.5703125" style="109" customWidth="1"/>
    <col min="10241" max="10241" width="11.7109375" style="109" customWidth="1"/>
    <col min="10242" max="10242" width="13.140625" style="109" customWidth="1"/>
    <col min="10243" max="10243" width="9.140625" style="109" customWidth="1"/>
    <col min="10244" max="10244" width="9.28515625" style="109" bestFit="1" customWidth="1"/>
    <col min="10245" max="10245" width="12.140625" style="109" customWidth="1"/>
    <col min="10246" max="10246" width="12.7109375" style="109" customWidth="1"/>
    <col min="10247" max="10247" width="9.42578125" style="109" customWidth="1"/>
    <col min="10248" max="10248" width="9.28515625" style="109" bestFit="1" customWidth="1"/>
    <col min="10249" max="10249" width="13.140625" style="109" customWidth="1"/>
    <col min="10250" max="10250" width="13.5703125" style="109" customWidth="1"/>
    <col min="10251" max="10251" width="9.5703125" style="109" customWidth="1"/>
    <col min="10252" max="10252" width="14.85546875" style="109" customWidth="1"/>
    <col min="10253" max="10492" width="9.140625" style="109"/>
    <col min="10493" max="10493" width="5.5703125" style="109" customWidth="1"/>
    <col min="10494" max="10494" width="33.5703125" style="109" customWidth="1"/>
    <col min="10495" max="10495" width="15.5703125" style="109" customWidth="1"/>
    <col min="10496" max="10496" width="9.5703125" style="109" customWidth="1"/>
    <col min="10497" max="10497" width="11.7109375" style="109" customWidth="1"/>
    <col min="10498" max="10498" width="13.140625" style="109" customWidth="1"/>
    <col min="10499" max="10499" width="9.140625" style="109" customWidth="1"/>
    <col min="10500" max="10500" width="9.28515625" style="109" bestFit="1" customWidth="1"/>
    <col min="10501" max="10501" width="12.140625" style="109" customWidth="1"/>
    <col min="10502" max="10502" width="12.7109375" style="109" customWidth="1"/>
    <col min="10503" max="10503" width="9.42578125" style="109" customWidth="1"/>
    <col min="10504" max="10504" width="9.28515625" style="109" bestFit="1" customWidth="1"/>
    <col min="10505" max="10505" width="13.140625" style="109" customWidth="1"/>
    <col min="10506" max="10506" width="13.5703125" style="109" customWidth="1"/>
    <col min="10507" max="10507" width="9.5703125" style="109" customWidth="1"/>
    <col min="10508" max="10508" width="14.85546875" style="109" customWidth="1"/>
    <col min="10509" max="10748" width="9.140625" style="109"/>
    <col min="10749" max="10749" width="5.5703125" style="109" customWidth="1"/>
    <col min="10750" max="10750" width="33.5703125" style="109" customWidth="1"/>
    <col min="10751" max="10751" width="15.5703125" style="109" customWidth="1"/>
    <col min="10752" max="10752" width="9.5703125" style="109" customWidth="1"/>
    <col min="10753" max="10753" width="11.7109375" style="109" customWidth="1"/>
    <col min="10754" max="10754" width="13.140625" style="109" customWidth="1"/>
    <col min="10755" max="10755" width="9.140625" style="109" customWidth="1"/>
    <col min="10756" max="10756" width="9.28515625" style="109" bestFit="1" customWidth="1"/>
    <col min="10757" max="10757" width="12.140625" style="109" customWidth="1"/>
    <col min="10758" max="10758" width="12.7109375" style="109" customWidth="1"/>
    <col min="10759" max="10759" width="9.42578125" style="109" customWidth="1"/>
    <col min="10760" max="10760" width="9.28515625" style="109" bestFit="1" customWidth="1"/>
    <col min="10761" max="10761" width="13.140625" style="109" customWidth="1"/>
    <col min="10762" max="10762" width="13.5703125" style="109" customWidth="1"/>
    <col min="10763" max="10763" width="9.5703125" style="109" customWidth="1"/>
    <col min="10764" max="10764" width="14.85546875" style="109" customWidth="1"/>
    <col min="10765" max="11004" width="9.140625" style="109"/>
    <col min="11005" max="11005" width="5.5703125" style="109" customWidth="1"/>
    <col min="11006" max="11006" width="33.5703125" style="109" customWidth="1"/>
    <col min="11007" max="11007" width="15.5703125" style="109" customWidth="1"/>
    <col min="11008" max="11008" width="9.5703125" style="109" customWidth="1"/>
    <col min="11009" max="11009" width="11.7109375" style="109" customWidth="1"/>
    <col min="11010" max="11010" width="13.140625" style="109" customWidth="1"/>
    <col min="11011" max="11011" width="9.140625" style="109" customWidth="1"/>
    <col min="11012" max="11012" width="9.28515625" style="109" bestFit="1" customWidth="1"/>
    <col min="11013" max="11013" width="12.140625" style="109" customWidth="1"/>
    <col min="11014" max="11014" width="12.7109375" style="109" customWidth="1"/>
    <col min="11015" max="11015" width="9.42578125" style="109" customWidth="1"/>
    <col min="11016" max="11016" width="9.28515625" style="109" bestFit="1" customWidth="1"/>
    <col min="11017" max="11017" width="13.140625" style="109" customWidth="1"/>
    <col min="11018" max="11018" width="13.5703125" style="109" customWidth="1"/>
    <col min="11019" max="11019" width="9.5703125" style="109" customWidth="1"/>
    <col min="11020" max="11020" width="14.85546875" style="109" customWidth="1"/>
    <col min="11021" max="11260" width="9.140625" style="109"/>
    <col min="11261" max="11261" width="5.5703125" style="109" customWidth="1"/>
    <col min="11262" max="11262" width="33.5703125" style="109" customWidth="1"/>
    <col min="11263" max="11263" width="15.5703125" style="109" customWidth="1"/>
    <col min="11264" max="11264" width="9.5703125" style="109" customWidth="1"/>
    <col min="11265" max="11265" width="11.7109375" style="109" customWidth="1"/>
    <col min="11266" max="11266" width="13.140625" style="109" customWidth="1"/>
    <col min="11267" max="11267" width="9.140625" style="109" customWidth="1"/>
    <col min="11268" max="11268" width="9.28515625" style="109" bestFit="1" customWidth="1"/>
    <col min="11269" max="11269" width="12.140625" style="109" customWidth="1"/>
    <col min="11270" max="11270" width="12.7109375" style="109" customWidth="1"/>
    <col min="11271" max="11271" width="9.42578125" style="109" customWidth="1"/>
    <col min="11272" max="11272" width="9.28515625" style="109" bestFit="1" customWidth="1"/>
    <col min="11273" max="11273" width="13.140625" style="109" customWidth="1"/>
    <col min="11274" max="11274" width="13.5703125" style="109" customWidth="1"/>
    <col min="11275" max="11275" width="9.5703125" style="109" customWidth="1"/>
    <col min="11276" max="11276" width="14.85546875" style="109" customWidth="1"/>
    <col min="11277" max="11516" width="9.140625" style="109"/>
    <col min="11517" max="11517" width="5.5703125" style="109" customWidth="1"/>
    <col min="11518" max="11518" width="33.5703125" style="109" customWidth="1"/>
    <col min="11519" max="11519" width="15.5703125" style="109" customWidth="1"/>
    <col min="11520" max="11520" width="9.5703125" style="109" customWidth="1"/>
    <col min="11521" max="11521" width="11.7109375" style="109" customWidth="1"/>
    <col min="11522" max="11522" width="13.140625" style="109" customWidth="1"/>
    <col min="11523" max="11523" width="9.140625" style="109" customWidth="1"/>
    <col min="11524" max="11524" width="9.28515625" style="109" bestFit="1" customWidth="1"/>
    <col min="11525" max="11525" width="12.140625" style="109" customWidth="1"/>
    <col min="11526" max="11526" width="12.7109375" style="109" customWidth="1"/>
    <col min="11527" max="11527" width="9.42578125" style="109" customWidth="1"/>
    <col min="11528" max="11528" width="9.28515625" style="109" bestFit="1" customWidth="1"/>
    <col min="11529" max="11529" width="13.140625" style="109" customWidth="1"/>
    <col min="11530" max="11530" width="13.5703125" style="109" customWidth="1"/>
    <col min="11531" max="11531" width="9.5703125" style="109" customWidth="1"/>
    <col min="11532" max="11532" width="14.85546875" style="109" customWidth="1"/>
    <col min="11533" max="11772" width="9.140625" style="109"/>
    <col min="11773" max="11773" width="5.5703125" style="109" customWidth="1"/>
    <col min="11774" max="11774" width="33.5703125" style="109" customWidth="1"/>
    <col min="11775" max="11775" width="15.5703125" style="109" customWidth="1"/>
    <col min="11776" max="11776" width="9.5703125" style="109" customWidth="1"/>
    <col min="11777" max="11777" width="11.7109375" style="109" customWidth="1"/>
    <col min="11778" max="11778" width="13.140625" style="109" customWidth="1"/>
    <col min="11779" max="11779" width="9.140625" style="109" customWidth="1"/>
    <col min="11780" max="11780" width="9.28515625" style="109" bestFit="1" customWidth="1"/>
    <col min="11781" max="11781" width="12.140625" style="109" customWidth="1"/>
    <col min="11782" max="11782" width="12.7109375" style="109" customWidth="1"/>
    <col min="11783" max="11783" width="9.42578125" style="109" customWidth="1"/>
    <col min="11784" max="11784" width="9.28515625" style="109" bestFit="1" customWidth="1"/>
    <col min="11785" max="11785" width="13.140625" style="109" customWidth="1"/>
    <col min="11786" max="11786" width="13.5703125" style="109" customWidth="1"/>
    <col min="11787" max="11787" width="9.5703125" style="109" customWidth="1"/>
    <col min="11788" max="11788" width="14.85546875" style="109" customWidth="1"/>
    <col min="11789" max="12028" width="9.140625" style="109"/>
    <col min="12029" max="12029" width="5.5703125" style="109" customWidth="1"/>
    <col min="12030" max="12030" width="33.5703125" style="109" customWidth="1"/>
    <col min="12031" max="12031" width="15.5703125" style="109" customWidth="1"/>
    <col min="12032" max="12032" width="9.5703125" style="109" customWidth="1"/>
    <col min="12033" max="12033" width="11.7109375" style="109" customWidth="1"/>
    <col min="12034" max="12034" width="13.140625" style="109" customWidth="1"/>
    <col min="12035" max="12035" width="9.140625" style="109" customWidth="1"/>
    <col min="12036" max="12036" width="9.28515625" style="109" bestFit="1" customWidth="1"/>
    <col min="12037" max="12037" width="12.140625" style="109" customWidth="1"/>
    <col min="12038" max="12038" width="12.7109375" style="109" customWidth="1"/>
    <col min="12039" max="12039" width="9.42578125" style="109" customWidth="1"/>
    <col min="12040" max="12040" width="9.28515625" style="109" bestFit="1" customWidth="1"/>
    <col min="12041" max="12041" width="13.140625" style="109" customWidth="1"/>
    <col min="12042" max="12042" width="13.5703125" style="109" customWidth="1"/>
    <col min="12043" max="12043" width="9.5703125" style="109" customWidth="1"/>
    <col min="12044" max="12044" width="14.85546875" style="109" customWidth="1"/>
    <col min="12045" max="12284" width="9.140625" style="109"/>
    <col min="12285" max="12285" width="5.5703125" style="109" customWidth="1"/>
    <col min="12286" max="12286" width="33.5703125" style="109" customWidth="1"/>
    <col min="12287" max="12287" width="15.5703125" style="109" customWidth="1"/>
    <col min="12288" max="12288" width="9.5703125" style="109" customWidth="1"/>
    <col min="12289" max="12289" width="11.7109375" style="109" customWidth="1"/>
    <col min="12290" max="12290" width="13.140625" style="109" customWidth="1"/>
    <col min="12291" max="12291" width="9.140625" style="109" customWidth="1"/>
    <col min="12292" max="12292" width="9.28515625" style="109" bestFit="1" customWidth="1"/>
    <col min="12293" max="12293" width="12.140625" style="109" customWidth="1"/>
    <col min="12294" max="12294" width="12.7109375" style="109" customWidth="1"/>
    <col min="12295" max="12295" width="9.42578125" style="109" customWidth="1"/>
    <col min="12296" max="12296" width="9.28515625" style="109" bestFit="1" customWidth="1"/>
    <col min="12297" max="12297" width="13.140625" style="109" customWidth="1"/>
    <col min="12298" max="12298" width="13.5703125" style="109" customWidth="1"/>
    <col min="12299" max="12299" width="9.5703125" style="109" customWidth="1"/>
    <col min="12300" max="12300" width="14.85546875" style="109" customWidth="1"/>
    <col min="12301" max="12540" width="9.140625" style="109"/>
    <col min="12541" max="12541" width="5.5703125" style="109" customWidth="1"/>
    <col min="12542" max="12542" width="33.5703125" style="109" customWidth="1"/>
    <col min="12543" max="12543" width="15.5703125" style="109" customWidth="1"/>
    <col min="12544" max="12544" width="9.5703125" style="109" customWidth="1"/>
    <col min="12545" max="12545" width="11.7109375" style="109" customWidth="1"/>
    <col min="12546" max="12546" width="13.140625" style="109" customWidth="1"/>
    <col min="12547" max="12547" width="9.140625" style="109" customWidth="1"/>
    <col min="12548" max="12548" width="9.28515625" style="109" bestFit="1" customWidth="1"/>
    <col min="12549" max="12549" width="12.140625" style="109" customWidth="1"/>
    <col min="12550" max="12550" width="12.7109375" style="109" customWidth="1"/>
    <col min="12551" max="12551" width="9.42578125" style="109" customWidth="1"/>
    <col min="12552" max="12552" width="9.28515625" style="109" bestFit="1" customWidth="1"/>
    <col min="12553" max="12553" width="13.140625" style="109" customWidth="1"/>
    <col min="12554" max="12554" width="13.5703125" style="109" customWidth="1"/>
    <col min="12555" max="12555" width="9.5703125" style="109" customWidth="1"/>
    <col min="12556" max="12556" width="14.85546875" style="109" customWidth="1"/>
    <col min="12557" max="12796" width="9.140625" style="109"/>
    <col min="12797" max="12797" width="5.5703125" style="109" customWidth="1"/>
    <col min="12798" max="12798" width="33.5703125" style="109" customWidth="1"/>
    <col min="12799" max="12799" width="15.5703125" style="109" customWidth="1"/>
    <col min="12800" max="12800" width="9.5703125" style="109" customWidth="1"/>
    <col min="12801" max="12801" width="11.7109375" style="109" customWidth="1"/>
    <col min="12802" max="12802" width="13.140625" style="109" customWidth="1"/>
    <col min="12803" max="12803" width="9.140625" style="109" customWidth="1"/>
    <col min="12804" max="12804" width="9.28515625" style="109" bestFit="1" customWidth="1"/>
    <col min="12805" max="12805" width="12.140625" style="109" customWidth="1"/>
    <col min="12806" max="12806" width="12.7109375" style="109" customWidth="1"/>
    <col min="12807" max="12807" width="9.42578125" style="109" customWidth="1"/>
    <col min="12808" max="12808" width="9.28515625" style="109" bestFit="1" customWidth="1"/>
    <col min="12809" max="12809" width="13.140625" style="109" customWidth="1"/>
    <col min="12810" max="12810" width="13.5703125" style="109" customWidth="1"/>
    <col min="12811" max="12811" width="9.5703125" style="109" customWidth="1"/>
    <col min="12812" max="12812" width="14.85546875" style="109" customWidth="1"/>
    <col min="12813" max="13052" width="9.140625" style="109"/>
    <col min="13053" max="13053" width="5.5703125" style="109" customWidth="1"/>
    <col min="13054" max="13054" width="33.5703125" style="109" customWidth="1"/>
    <col min="13055" max="13055" width="15.5703125" style="109" customWidth="1"/>
    <col min="13056" max="13056" width="9.5703125" style="109" customWidth="1"/>
    <col min="13057" max="13057" width="11.7109375" style="109" customWidth="1"/>
    <col min="13058" max="13058" width="13.140625" style="109" customWidth="1"/>
    <col min="13059" max="13059" width="9.140625" style="109" customWidth="1"/>
    <col min="13060" max="13060" width="9.28515625" style="109" bestFit="1" customWidth="1"/>
    <col min="13061" max="13061" width="12.140625" style="109" customWidth="1"/>
    <col min="13062" max="13062" width="12.7109375" style="109" customWidth="1"/>
    <col min="13063" max="13063" width="9.42578125" style="109" customWidth="1"/>
    <col min="13064" max="13064" width="9.28515625" style="109" bestFit="1" customWidth="1"/>
    <col min="13065" max="13065" width="13.140625" style="109" customWidth="1"/>
    <col min="13066" max="13066" width="13.5703125" style="109" customWidth="1"/>
    <col min="13067" max="13067" width="9.5703125" style="109" customWidth="1"/>
    <col min="13068" max="13068" width="14.85546875" style="109" customWidth="1"/>
    <col min="13069" max="13308" width="9.140625" style="109"/>
    <col min="13309" max="13309" width="5.5703125" style="109" customWidth="1"/>
    <col min="13310" max="13310" width="33.5703125" style="109" customWidth="1"/>
    <col min="13311" max="13311" width="15.5703125" style="109" customWidth="1"/>
    <col min="13312" max="13312" width="9.5703125" style="109" customWidth="1"/>
    <col min="13313" max="13313" width="11.7109375" style="109" customWidth="1"/>
    <col min="13314" max="13314" width="13.140625" style="109" customWidth="1"/>
    <col min="13315" max="13315" width="9.140625" style="109" customWidth="1"/>
    <col min="13316" max="13316" width="9.28515625" style="109" bestFit="1" customWidth="1"/>
    <col min="13317" max="13317" width="12.140625" style="109" customWidth="1"/>
    <col min="13318" max="13318" width="12.7109375" style="109" customWidth="1"/>
    <col min="13319" max="13319" width="9.42578125" style="109" customWidth="1"/>
    <col min="13320" max="13320" width="9.28515625" style="109" bestFit="1" customWidth="1"/>
    <col min="13321" max="13321" width="13.140625" style="109" customWidth="1"/>
    <col min="13322" max="13322" width="13.5703125" style="109" customWidth="1"/>
    <col min="13323" max="13323" width="9.5703125" style="109" customWidth="1"/>
    <col min="13324" max="13324" width="14.85546875" style="109" customWidth="1"/>
    <col min="13325" max="13564" width="9.140625" style="109"/>
    <col min="13565" max="13565" width="5.5703125" style="109" customWidth="1"/>
    <col min="13566" max="13566" width="33.5703125" style="109" customWidth="1"/>
    <col min="13567" max="13567" width="15.5703125" style="109" customWidth="1"/>
    <col min="13568" max="13568" width="9.5703125" style="109" customWidth="1"/>
    <col min="13569" max="13569" width="11.7109375" style="109" customWidth="1"/>
    <col min="13570" max="13570" width="13.140625" style="109" customWidth="1"/>
    <col min="13571" max="13571" width="9.140625" style="109" customWidth="1"/>
    <col min="13572" max="13572" width="9.28515625" style="109" bestFit="1" customWidth="1"/>
    <col min="13573" max="13573" width="12.140625" style="109" customWidth="1"/>
    <col min="13574" max="13574" width="12.7109375" style="109" customWidth="1"/>
    <col min="13575" max="13575" width="9.42578125" style="109" customWidth="1"/>
    <col min="13576" max="13576" width="9.28515625" style="109" bestFit="1" customWidth="1"/>
    <col min="13577" max="13577" width="13.140625" style="109" customWidth="1"/>
    <col min="13578" max="13578" width="13.5703125" style="109" customWidth="1"/>
    <col min="13579" max="13579" width="9.5703125" style="109" customWidth="1"/>
    <col min="13580" max="13580" width="14.85546875" style="109" customWidth="1"/>
    <col min="13581" max="13820" width="9.140625" style="109"/>
    <col min="13821" max="13821" width="5.5703125" style="109" customWidth="1"/>
    <col min="13822" max="13822" width="33.5703125" style="109" customWidth="1"/>
    <col min="13823" max="13823" width="15.5703125" style="109" customWidth="1"/>
    <col min="13824" max="13824" width="9.5703125" style="109" customWidth="1"/>
    <col min="13825" max="13825" width="11.7109375" style="109" customWidth="1"/>
    <col min="13826" max="13826" width="13.140625" style="109" customWidth="1"/>
    <col min="13827" max="13827" width="9.140625" style="109" customWidth="1"/>
    <col min="13828" max="13828" width="9.28515625" style="109" bestFit="1" customWidth="1"/>
    <col min="13829" max="13829" width="12.140625" style="109" customWidth="1"/>
    <col min="13830" max="13830" width="12.7109375" style="109" customWidth="1"/>
    <col min="13831" max="13831" width="9.42578125" style="109" customWidth="1"/>
    <col min="13832" max="13832" width="9.28515625" style="109" bestFit="1" customWidth="1"/>
    <col min="13833" max="13833" width="13.140625" style="109" customWidth="1"/>
    <col min="13834" max="13834" width="13.5703125" style="109" customWidth="1"/>
    <col min="13835" max="13835" width="9.5703125" style="109" customWidth="1"/>
    <col min="13836" max="13836" width="14.85546875" style="109" customWidth="1"/>
    <col min="13837" max="14076" width="9.140625" style="109"/>
    <col min="14077" max="14077" width="5.5703125" style="109" customWidth="1"/>
    <col min="14078" max="14078" width="33.5703125" style="109" customWidth="1"/>
    <col min="14079" max="14079" width="15.5703125" style="109" customWidth="1"/>
    <col min="14080" max="14080" width="9.5703125" style="109" customWidth="1"/>
    <col min="14081" max="14081" width="11.7109375" style="109" customWidth="1"/>
    <col min="14082" max="14082" width="13.140625" style="109" customWidth="1"/>
    <col min="14083" max="14083" width="9.140625" style="109" customWidth="1"/>
    <col min="14084" max="14084" width="9.28515625" style="109" bestFit="1" customWidth="1"/>
    <col min="14085" max="14085" width="12.140625" style="109" customWidth="1"/>
    <col min="14086" max="14086" width="12.7109375" style="109" customWidth="1"/>
    <col min="14087" max="14087" width="9.42578125" style="109" customWidth="1"/>
    <col min="14088" max="14088" width="9.28515625" style="109" bestFit="1" customWidth="1"/>
    <col min="14089" max="14089" width="13.140625" style="109" customWidth="1"/>
    <col min="14090" max="14090" width="13.5703125" style="109" customWidth="1"/>
    <col min="14091" max="14091" width="9.5703125" style="109" customWidth="1"/>
    <col min="14092" max="14092" width="14.85546875" style="109" customWidth="1"/>
    <col min="14093" max="14332" width="9.140625" style="109"/>
    <col min="14333" max="14333" width="5.5703125" style="109" customWidth="1"/>
    <col min="14334" max="14334" width="33.5703125" style="109" customWidth="1"/>
    <col min="14335" max="14335" width="15.5703125" style="109" customWidth="1"/>
    <col min="14336" max="14336" width="9.5703125" style="109" customWidth="1"/>
    <col min="14337" max="14337" width="11.7109375" style="109" customWidth="1"/>
    <col min="14338" max="14338" width="13.140625" style="109" customWidth="1"/>
    <col min="14339" max="14339" width="9.140625" style="109" customWidth="1"/>
    <col min="14340" max="14340" width="9.28515625" style="109" bestFit="1" customWidth="1"/>
    <col min="14341" max="14341" width="12.140625" style="109" customWidth="1"/>
    <col min="14342" max="14342" width="12.7109375" style="109" customWidth="1"/>
    <col min="14343" max="14343" width="9.42578125" style="109" customWidth="1"/>
    <col min="14344" max="14344" width="9.28515625" style="109" bestFit="1" customWidth="1"/>
    <col min="14345" max="14345" width="13.140625" style="109" customWidth="1"/>
    <col min="14346" max="14346" width="13.5703125" style="109" customWidth="1"/>
    <col min="14347" max="14347" width="9.5703125" style="109" customWidth="1"/>
    <col min="14348" max="14348" width="14.85546875" style="109" customWidth="1"/>
    <col min="14349" max="14588" width="9.140625" style="109"/>
    <col min="14589" max="14589" width="5.5703125" style="109" customWidth="1"/>
    <col min="14590" max="14590" width="33.5703125" style="109" customWidth="1"/>
    <col min="14591" max="14591" width="15.5703125" style="109" customWidth="1"/>
    <col min="14592" max="14592" width="9.5703125" style="109" customWidth="1"/>
    <col min="14593" max="14593" width="11.7109375" style="109" customWidth="1"/>
    <col min="14594" max="14594" width="13.140625" style="109" customWidth="1"/>
    <col min="14595" max="14595" width="9.140625" style="109" customWidth="1"/>
    <col min="14596" max="14596" width="9.28515625" style="109" bestFit="1" customWidth="1"/>
    <col min="14597" max="14597" width="12.140625" style="109" customWidth="1"/>
    <col min="14598" max="14598" width="12.7109375" style="109" customWidth="1"/>
    <col min="14599" max="14599" width="9.42578125" style="109" customWidth="1"/>
    <col min="14600" max="14600" width="9.28515625" style="109" bestFit="1" customWidth="1"/>
    <col min="14601" max="14601" width="13.140625" style="109" customWidth="1"/>
    <col min="14602" max="14602" width="13.5703125" style="109" customWidth="1"/>
    <col min="14603" max="14603" width="9.5703125" style="109" customWidth="1"/>
    <col min="14604" max="14604" width="14.85546875" style="109" customWidth="1"/>
    <col min="14605" max="14844" width="9.140625" style="109"/>
    <col min="14845" max="14845" width="5.5703125" style="109" customWidth="1"/>
    <col min="14846" max="14846" width="33.5703125" style="109" customWidth="1"/>
    <col min="14847" max="14847" width="15.5703125" style="109" customWidth="1"/>
    <col min="14848" max="14848" width="9.5703125" style="109" customWidth="1"/>
    <col min="14849" max="14849" width="11.7109375" style="109" customWidth="1"/>
    <col min="14850" max="14850" width="13.140625" style="109" customWidth="1"/>
    <col min="14851" max="14851" width="9.140625" style="109" customWidth="1"/>
    <col min="14852" max="14852" width="9.28515625" style="109" bestFit="1" customWidth="1"/>
    <col min="14853" max="14853" width="12.140625" style="109" customWidth="1"/>
    <col min="14854" max="14854" width="12.7109375" style="109" customWidth="1"/>
    <col min="14855" max="14855" width="9.42578125" style="109" customWidth="1"/>
    <col min="14856" max="14856" width="9.28515625" style="109" bestFit="1" customWidth="1"/>
    <col min="14857" max="14857" width="13.140625" style="109" customWidth="1"/>
    <col min="14858" max="14858" width="13.5703125" style="109" customWidth="1"/>
    <col min="14859" max="14859" width="9.5703125" style="109" customWidth="1"/>
    <col min="14860" max="14860" width="14.85546875" style="109" customWidth="1"/>
    <col min="14861" max="15100" width="9.140625" style="109"/>
    <col min="15101" max="15101" width="5.5703125" style="109" customWidth="1"/>
    <col min="15102" max="15102" width="33.5703125" style="109" customWidth="1"/>
    <col min="15103" max="15103" width="15.5703125" style="109" customWidth="1"/>
    <col min="15104" max="15104" width="9.5703125" style="109" customWidth="1"/>
    <col min="15105" max="15105" width="11.7109375" style="109" customWidth="1"/>
    <col min="15106" max="15106" width="13.140625" style="109" customWidth="1"/>
    <col min="15107" max="15107" width="9.140625" style="109" customWidth="1"/>
    <col min="15108" max="15108" width="9.28515625" style="109" bestFit="1" customWidth="1"/>
    <col min="15109" max="15109" width="12.140625" style="109" customWidth="1"/>
    <col min="15110" max="15110" width="12.7109375" style="109" customWidth="1"/>
    <col min="15111" max="15111" width="9.42578125" style="109" customWidth="1"/>
    <col min="15112" max="15112" width="9.28515625" style="109" bestFit="1" customWidth="1"/>
    <col min="15113" max="15113" width="13.140625" style="109" customWidth="1"/>
    <col min="15114" max="15114" width="13.5703125" style="109" customWidth="1"/>
    <col min="15115" max="15115" width="9.5703125" style="109" customWidth="1"/>
    <col min="15116" max="15116" width="14.85546875" style="109" customWidth="1"/>
    <col min="15117" max="15356" width="9.140625" style="109"/>
    <col min="15357" max="15357" width="5.5703125" style="109" customWidth="1"/>
    <col min="15358" max="15358" width="33.5703125" style="109" customWidth="1"/>
    <col min="15359" max="15359" width="15.5703125" style="109" customWidth="1"/>
    <col min="15360" max="15360" width="9.5703125" style="109" customWidth="1"/>
    <col min="15361" max="15361" width="11.7109375" style="109" customWidth="1"/>
    <col min="15362" max="15362" width="13.140625" style="109" customWidth="1"/>
    <col min="15363" max="15363" width="9.140625" style="109" customWidth="1"/>
    <col min="15364" max="15364" width="9.28515625" style="109" bestFit="1" customWidth="1"/>
    <col min="15365" max="15365" width="12.140625" style="109" customWidth="1"/>
    <col min="15366" max="15366" width="12.7109375" style="109" customWidth="1"/>
    <col min="15367" max="15367" width="9.42578125" style="109" customWidth="1"/>
    <col min="15368" max="15368" width="9.28515625" style="109" bestFit="1" customWidth="1"/>
    <col min="15369" max="15369" width="13.140625" style="109" customWidth="1"/>
    <col min="15370" max="15370" width="13.5703125" style="109" customWidth="1"/>
    <col min="15371" max="15371" width="9.5703125" style="109" customWidth="1"/>
    <col min="15372" max="15372" width="14.85546875" style="109" customWidth="1"/>
    <col min="15373" max="15612" width="9.140625" style="109"/>
    <col min="15613" max="15613" width="5.5703125" style="109" customWidth="1"/>
    <col min="15614" max="15614" width="33.5703125" style="109" customWidth="1"/>
    <col min="15615" max="15615" width="15.5703125" style="109" customWidth="1"/>
    <col min="15616" max="15616" width="9.5703125" style="109" customWidth="1"/>
    <col min="15617" max="15617" width="11.7109375" style="109" customWidth="1"/>
    <col min="15618" max="15618" width="13.140625" style="109" customWidth="1"/>
    <col min="15619" max="15619" width="9.140625" style="109" customWidth="1"/>
    <col min="15620" max="15620" width="9.28515625" style="109" bestFit="1" customWidth="1"/>
    <col min="15621" max="15621" width="12.140625" style="109" customWidth="1"/>
    <col min="15622" max="15622" width="12.7109375" style="109" customWidth="1"/>
    <col min="15623" max="15623" width="9.42578125" style="109" customWidth="1"/>
    <col min="15624" max="15624" width="9.28515625" style="109" bestFit="1" customWidth="1"/>
    <col min="15625" max="15625" width="13.140625" style="109" customWidth="1"/>
    <col min="15626" max="15626" width="13.5703125" style="109" customWidth="1"/>
    <col min="15627" max="15627" width="9.5703125" style="109" customWidth="1"/>
    <col min="15628" max="15628" width="14.85546875" style="109" customWidth="1"/>
    <col min="15629" max="15868" width="9.140625" style="109"/>
    <col min="15869" max="15869" width="5.5703125" style="109" customWidth="1"/>
    <col min="15870" max="15870" width="33.5703125" style="109" customWidth="1"/>
    <col min="15871" max="15871" width="15.5703125" style="109" customWidth="1"/>
    <col min="15872" max="15872" width="9.5703125" style="109" customWidth="1"/>
    <col min="15873" max="15873" width="11.7109375" style="109" customWidth="1"/>
    <col min="15874" max="15874" width="13.140625" style="109" customWidth="1"/>
    <col min="15875" max="15875" width="9.140625" style="109" customWidth="1"/>
    <col min="15876" max="15876" width="9.28515625" style="109" bestFit="1" customWidth="1"/>
    <col min="15877" max="15877" width="12.140625" style="109" customWidth="1"/>
    <col min="15878" max="15878" width="12.7109375" style="109" customWidth="1"/>
    <col min="15879" max="15879" width="9.42578125" style="109" customWidth="1"/>
    <col min="15880" max="15880" width="9.28515625" style="109" bestFit="1" customWidth="1"/>
    <col min="15881" max="15881" width="13.140625" style="109" customWidth="1"/>
    <col min="15882" max="15882" width="13.5703125" style="109" customWidth="1"/>
    <col min="15883" max="15883" width="9.5703125" style="109" customWidth="1"/>
    <col min="15884" max="15884" width="14.85546875" style="109" customWidth="1"/>
    <col min="15885" max="16124" width="9.140625" style="109"/>
    <col min="16125" max="16125" width="5.5703125" style="109" customWidth="1"/>
    <col min="16126" max="16126" width="33.5703125" style="109" customWidth="1"/>
    <col min="16127" max="16127" width="15.5703125" style="109" customWidth="1"/>
    <col min="16128" max="16128" width="9.5703125" style="109" customWidth="1"/>
    <col min="16129" max="16129" width="11.7109375" style="109" customWidth="1"/>
    <col min="16130" max="16130" width="13.140625" style="109" customWidth="1"/>
    <col min="16131" max="16131" width="9.140625" style="109" customWidth="1"/>
    <col min="16132" max="16132" width="9.28515625" style="109" bestFit="1" customWidth="1"/>
    <col min="16133" max="16133" width="12.140625" style="109" customWidth="1"/>
    <col min="16134" max="16134" width="12.7109375" style="109" customWidth="1"/>
    <col min="16135" max="16135" width="9.42578125" style="109" customWidth="1"/>
    <col min="16136" max="16136" width="9.28515625" style="109" bestFit="1" customWidth="1"/>
    <col min="16137" max="16137" width="13.140625" style="109" customWidth="1"/>
    <col min="16138" max="16138" width="13.5703125" style="109" customWidth="1"/>
    <col min="16139" max="16139" width="9.5703125" style="109" customWidth="1"/>
    <col min="16140" max="16140" width="14.85546875" style="109" customWidth="1"/>
    <col min="16141" max="16384" width="9.140625" style="109"/>
  </cols>
  <sheetData>
    <row r="1" spans="1:12">
      <c r="C1" s="353" t="s">
        <v>845</v>
      </c>
      <c r="D1" s="353"/>
      <c r="E1" s="353"/>
      <c r="F1" s="353"/>
      <c r="G1" s="353"/>
      <c r="H1" s="353"/>
      <c r="I1" s="353"/>
      <c r="J1" s="353"/>
      <c r="K1" s="353"/>
      <c r="L1" s="353"/>
    </row>
    <row r="2" spans="1:12">
      <c r="C2" s="353" t="s">
        <v>484</v>
      </c>
      <c r="D2" s="353"/>
      <c r="E2" s="353"/>
      <c r="F2" s="353"/>
      <c r="G2" s="353"/>
      <c r="H2" s="353"/>
      <c r="I2" s="353"/>
      <c r="J2" s="353"/>
      <c r="K2" s="353"/>
      <c r="L2" s="353"/>
    </row>
    <row r="3" spans="1:12">
      <c r="C3" s="353" t="s">
        <v>875</v>
      </c>
      <c r="D3" s="353"/>
      <c r="E3" s="353"/>
      <c r="F3" s="353"/>
      <c r="G3" s="353"/>
      <c r="H3" s="353"/>
      <c r="I3" s="353"/>
      <c r="J3" s="353"/>
      <c r="K3" s="353"/>
      <c r="L3" s="353"/>
    </row>
    <row r="5" spans="1:12">
      <c r="A5" s="352" t="s">
        <v>370</v>
      </c>
      <c r="B5" s="352"/>
      <c r="C5" s="352"/>
      <c r="D5" s="352"/>
      <c r="E5" s="352"/>
      <c r="F5" s="352"/>
      <c r="G5" s="352"/>
      <c r="H5" s="352"/>
      <c r="I5" s="352"/>
      <c r="J5" s="352"/>
      <c r="K5" s="352"/>
      <c r="L5" s="352"/>
    </row>
    <row r="6" spans="1:12">
      <c r="A6" s="352" t="s">
        <v>482</v>
      </c>
      <c r="B6" s="352"/>
      <c r="C6" s="352"/>
      <c r="D6" s="352"/>
      <c r="E6" s="352"/>
      <c r="F6" s="352"/>
      <c r="G6" s="352"/>
      <c r="H6" s="352"/>
      <c r="I6" s="352"/>
      <c r="J6" s="352"/>
      <c r="K6" s="352"/>
      <c r="L6" s="352"/>
    </row>
    <row r="7" spans="1:12" ht="15.6" customHeight="1">
      <c r="A7" s="355" t="s">
        <v>371</v>
      </c>
      <c r="B7" s="355" t="s">
        <v>372</v>
      </c>
      <c r="C7" s="354" t="s">
        <v>373</v>
      </c>
      <c r="D7" s="356" t="s">
        <v>374</v>
      </c>
      <c r="E7" s="357"/>
      <c r="F7" s="357"/>
      <c r="G7" s="358"/>
      <c r="H7" s="359" t="s">
        <v>475</v>
      </c>
      <c r="I7" s="359"/>
      <c r="J7" s="359"/>
      <c r="K7" s="359"/>
      <c r="L7" s="354" t="s">
        <v>41</v>
      </c>
    </row>
    <row r="8" spans="1:12" ht="14.25" customHeight="1">
      <c r="A8" s="355"/>
      <c r="B8" s="355"/>
      <c r="C8" s="354"/>
      <c r="D8" s="354" t="s">
        <v>97</v>
      </c>
      <c r="E8" s="354"/>
      <c r="F8" s="354"/>
      <c r="G8" s="354"/>
      <c r="H8" s="354" t="s">
        <v>98</v>
      </c>
      <c r="I8" s="354"/>
      <c r="J8" s="354"/>
      <c r="K8" s="354"/>
      <c r="L8" s="354"/>
    </row>
    <row r="9" spans="1:12" ht="78.75">
      <c r="A9" s="355"/>
      <c r="B9" s="355"/>
      <c r="C9" s="354"/>
      <c r="D9" s="111" t="s">
        <v>375</v>
      </c>
      <c r="E9" s="111" t="s">
        <v>376</v>
      </c>
      <c r="F9" s="319" t="s">
        <v>377</v>
      </c>
      <c r="G9" s="111" t="s">
        <v>378</v>
      </c>
      <c r="H9" s="111" t="s">
        <v>375</v>
      </c>
      <c r="I9" s="111" t="s">
        <v>376</v>
      </c>
      <c r="J9" s="319" t="s">
        <v>377</v>
      </c>
      <c r="K9" s="111" t="s">
        <v>378</v>
      </c>
      <c r="L9" s="354"/>
    </row>
    <row r="10" spans="1:12" ht="31.5">
      <c r="A10" s="112" t="s">
        <v>422</v>
      </c>
      <c r="B10" s="112" t="s">
        <v>32</v>
      </c>
      <c r="C10" s="113" t="s">
        <v>379</v>
      </c>
      <c r="D10" s="142">
        <f>D11</f>
        <v>1230.2</v>
      </c>
      <c r="E10" s="142">
        <f t="shared" ref="E10:F11" si="0">E11</f>
        <v>4898.6000000000004</v>
      </c>
      <c r="F10" s="142">
        <f t="shared" si="0"/>
        <v>0</v>
      </c>
      <c r="G10" s="142">
        <f t="shared" ref="G10:G11" si="1">SUM(D10:F10)</f>
        <v>6128.8</v>
      </c>
      <c r="H10" s="111">
        <f>H11</f>
        <v>1129.5</v>
      </c>
      <c r="I10" s="111">
        <f t="shared" ref="I10:J11" si="2">I11</f>
        <v>4495.5</v>
      </c>
      <c r="J10" s="111">
        <f t="shared" si="2"/>
        <v>0</v>
      </c>
      <c r="K10" s="120">
        <f>SUM(H10:J10)</f>
        <v>5625</v>
      </c>
      <c r="L10" s="114" t="s">
        <v>63</v>
      </c>
    </row>
    <row r="11" spans="1:12">
      <c r="A11" s="112" t="s">
        <v>380</v>
      </c>
      <c r="B11" s="112" t="s">
        <v>328</v>
      </c>
      <c r="C11" s="115" t="s">
        <v>379</v>
      </c>
      <c r="D11" s="142">
        <f>D12</f>
        <v>1230.2</v>
      </c>
      <c r="E11" s="142">
        <f t="shared" si="0"/>
        <v>4898.6000000000004</v>
      </c>
      <c r="F11" s="142">
        <f t="shared" si="0"/>
        <v>0</v>
      </c>
      <c r="G11" s="142">
        <f t="shared" si="1"/>
        <v>6128.8</v>
      </c>
      <c r="H11" s="111">
        <f>H12</f>
        <v>1129.5</v>
      </c>
      <c r="I11" s="111">
        <f t="shared" si="2"/>
        <v>4495.5</v>
      </c>
      <c r="J11" s="111">
        <f t="shared" si="2"/>
        <v>0</v>
      </c>
      <c r="K11" s="120">
        <f>SUM(H11:J11)</f>
        <v>5625</v>
      </c>
      <c r="L11" s="114" t="s">
        <v>327</v>
      </c>
    </row>
    <row r="12" spans="1:12" ht="62.45" customHeight="1">
      <c r="A12" s="116" t="s">
        <v>381</v>
      </c>
      <c r="B12" s="112" t="s">
        <v>382</v>
      </c>
      <c r="C12" s="117" t="s">
        <v>383</v>
      </c>
      <c r="D12" s="111">
        <f>№6!F228+№6!F225</f>
        <v>1230.2</v>
      </c>
      <c r="E12" s="111">
        <f>№6!F222</f>
        <v>4898.6000000000004</v>
      </c>
      <c r="F12" s="111">
        <v>0</v>
      </c>
      <c r="G12" s="111">
        <f>SUM(D12:F12)</f>
        <v>6128.8</v>
      </c>
      <c r="H12" s="111">
        <f>№6!G228+№6!G225</f>
        <v>1129.5</v>
      </c>
      <c r="I12" s="111">
        <f>№6!G222</f>
        <v>4495.5</v>
      </c>
      <c r="J12" s="111">
        <v>0</v>
      </c>
      <c r="K12" s="120">
        <f>SUM(H12:J12)</f>
        <v>5625</v>
      </c>
      <c r="L12" s="114" t="s">
        <v>327</v>
      </c>
    </row>
    <row r="13" spans="1:12" ht="15.75" customHeight="1">
      <c r="A13" s="118" t="s">
        <v>384</v>
      </c>
      <c r="B13" s="118" t="s">
        <v>36</v>
      </c>
      <c r="C13" s="119" t="s">
        <v>379</v>
      </c>
      <c r="D13" s="120">
        <f>D14+D16</f>
        <v>1885.8</v>
      </c>
      <c r="E13" s="120">
        <f t="shared" ref="E13:K13" si="3">E14+E16</f>
        <v>12425.3</v>
      </c>
      <c r="F13" s="120">
        <f t="shared" si="3"/>
        <v>3000.7</v>
      </c>
      <c r="G13" s="120">
        <f t="shared" si="3"/>
        <v>17311.8</v>
      </c>
      <c r="H13" s="120">
        <f t="shared" si="3"/>
        <v>1885.8</v>
      </c>
      <c r="I13" s="120">
        <f t="shared" si="3"/>
        <v>12402</v>
      </c>
      <c r="J13" s="120">
        <f t="shared" si="3"/>
        <v>3000.7</v>
      </c>
      <c r="K13" s="120">
        <f t="shared" si="3"/>
        <v>17288.5</v>
      </c>
      <c r="L13" s="121" t="s">
        <v>44</v>
      </c>
    </row>
    <row r="14" spans="1:12" ht="31.5">
      <c r="A14" s="112" t="s">
        <v>385</v>
      </c>
      <c r="B14" s="15" t="s">
        <v>39</v>
      </c>
      <c r="C14" s="119" t="s">
        <v>379</v>
      </c>
      <c r="D14" s="120">
        <f>D15</f>
        <v>1885.8</v>
      </c>
      <c r="E14" s="120">
        <f t="shared" ref="E14:K14" si="4">E15</f>
        <v>4423.5</v>
      </c>
      <c r="F14" s="120">
        <f t="shared" si="4"/>
        <v>0</v>
      </c>
      <c r="G14" s="120">
        <f t="shared" si="4"/>
        <v>6309.3</v>
      </c>
      <c r="H14" s="120">
        <f t="shared" si="4"/>
        <v>1885.8</v>
      </c>
      <c r="I14" s="120">
        <f t="shared" si="4"/>
        <v>4400.2</v>
      </c>
      <c r="J14" s="120">
        <f t="shared" si="4"/>
        <v>0</v>
      </c>
      <c r="K14" s="120">
        <f t="shared" si="4"/>
        <v>6286</v>
      </c>
      <c r="L14" s="121" t="s">
        <v>45</v>
      </c>
    </row>
    <row r="15" spans="1:12" ht="76.900000000000006" customHeight="1">
      <c r="A15" s="112" t="s">
        <v>386</v>
      </c>
      <c r="B15" s="118" t="s">
        <v>387</v>
      </c>
      <c r="C15" s="118" t="s">
        <v>4</v>
      </c>
      <c r="D15" s="120">
        <f>№6!F609</f>
        <v>1885.8</v>
      </c>
      <c r="E15" s="111">
        <f>№6!F604</f>
        <v>4423.5</v>
      </c>
      <c r="F15" s="111">
        <v>0</v>
      </c>
      <c r="G15" s="120">
        <f>SUM(D15:F15)</f>
        <v>6309.3</v>
      </c>
      <c r="H15" s="111">
        <f>№6!G609</f>
        <v>1885.8</v>
      </c>
      <c r="I15" s="111">
        <f>№6!G604</f>
        <v>4400.2</v>
      </c>
      <c r="J15" s="111">
        <v>0</v>
      </c>
      <c r="K15" s="120">
        <f>SUM(H15:J15)</f>
        <v>6286</v>
      </c>
      <c r="L15" s="121" t="s">
        <v>45</v>
      </c>
    </row>
    <row r="16" spans="1:12" ht="15.75" customHeight="1">
      <c r="A16" s="118" t="s">
        <v>388</v>
      </c>
      <c r="B16" s="118" t="s">
        <v>92</v>
      </c>
      <c r="C16" s="119" t="s">
        <v>379</v>
      </c>
      <c r="D16" s="120">
        <f>D17</f>
        <v>0</v>
      </c>
      <c r="E16" s="120">
        <f t="shared" ref="E16:J16" si="5">E17</f>
        <v>8001.8</v>
      </c>
      <c r="F16" s="120">
        <f t="shared" si="5"/>
        <v>3000.7</v>
      </c>
      <c r="G16" s="120">
        <f t="shared" ref="G16:G17" si="6">D16+E16+F16</f>
        <v>11002.5</v>
      </c>
      <c r="H16" s="120">
        <f>H17</f>
        <v>0</v>
      </c>
      <c r="I16" s="120">
        <f t="shared" si="5"/>
        <v>8001.8</v>
      </c>
      <c r="J16" s="120">
        <f t="shared" si="5"/>
        <v>3000.7</v>
      </c>
      <c r="K16" s="120">
        <f>H16+I16+J16</f>
        <v>11002.5</v>
      </c>
      <c r="L16" s="114" t="s">
        <v>91</v>
      </c>
    </row>
    <row r="17" spans="1:12" ht="78.75" customHeight="1">
      <c r="A17" s="118" t="s">
        <v>386</v>
      </c>
      <c r="B17" s="118" t="s">
        <v>387</v>
      </c>
      <c r="C17" s="118" t="s">
        <v>4</v>
      </c>
      <c r="D17" s="122">
        <v>0</v>
      </c>
      <c r="E17" s="122">
        <f>№6!F616</f>
        <v>8001.8</v>
      </c>
      <c r="F17" s="122">
        <f>№6!F619</f>
        <v>3000.7</v>
      </c>
      <c r="G17" s="120">
        <f t="shared" si="6"/>
        <v>11002.5</v>
      </c>
      <c r="H17" s="122">
        <v>0</v>
      </c>
      <c r="I17" s="122">
        <f>№6!G616</f>
        <v>8001.8</v>
      </c>
      <c r="J17" s="122">
        <f>№6!G619</f>
        <v>3000.7</v>
      </c>
      <c r="K17" s="120">
        <f>H17+I17+J17</f>
        <v>11002.5</v>
      </c>
      <c r="L17" s="114" t="s">
        <v>91</v>
      </c>
    </row>
    <row r="18" spans="1:12">
      <c r="A18" s="118" t="s">
        <v>417</v>
      </c>
      <c r="B18" s="118" t="s">
        <v>35</v>
      </c>
      <c r="C18" s="119" t="s">
        <v>379</v>
      </c>
      <c r="D18" s="122">
        <f t="shared" ref="D18:F19" si="7">D19</f>
        <v>37</v>
      </c>
      <c r="E18" s="122">
        <f t="shared" si="7"/>
        <v>0</v>
      </c>
      <c r="F18" s="122">
        <f t="shared" si="7"/>
        <v>0</v>
      </c>
      <c r="G18" s="120">
        <f>D18+E18+F18</f>
        <v>37</v>
      </c>
      <c r="H18" s="122">
        <f t="shared" ref="H18:J19" si="8">H19</f>
        <v>8.1999999999999993</v>
      </c>
      <c r="I18" s="122">
        <f t="shared" si="8"/>
        <v>0</v>
      </c>
      <c r="J18" s="122">
        <f t="shared" si="8"/>
        <v>0</v>
      </c>
      <c r="K18" s="120">
        <f>H18+I18+J18</f>
        <v>8.1999999999999993</v>
      </c>
      <c r="L18" s="114" t="s">
        <v>93</v>
      </c>
    </row>
    <row r="19" spans="1:12">
      <c r="A19" s="371" t="s">
        <v>418</v>
      </c>
      <c r="B19" s="118" t="s">
        <v>68</v>
      </c>
      <c r="C19" s="119" t="s">
        <v>379</v>
      </c>
      <c r="D19" s="122">
        <f t="shared" si="7"/>
        <v>37</v>
      </c>
      <c r="E19" s="122">
        <f t="shared" si="7"/>
        <v>0</v>
      </c>
      <c r="F19" s="122">
        <f t="shared" si="7"/>
        <v>0</v>
      </c>
      <c r="G19" s="120">
        <f>D19+E19+F19</f>
        <v>37</v>
      </c>
      <c r="H19" s="122">
        <f t="shared" si="8"/>
        <v>8.1999999999999993</v>
      </c>
      <c r="I19" s="122">
        <f t="shared" si="8"/>
        <v>0</v>
      </c>
      <c r="J19" s="122">
        <f t="shared" si="8"/>
        <v>0</v>
      </c>
      <c r="K19" s="120">
        <f>K20</f>
        <v>8.1999999999999993</v>
      </c>
      <c r="L19" s="114" t="s">
        <v>93</v>
      </c>
    </row>
    <row r="20" spans="1:12" ht="45" customHeight="1">
      <c r="A20" s="371" t="s">
        <v>419</v>
      </c>
      <c r="B20" s="118" t="s">
        <v>420</v>
      </c>
      <c r="C20" s="118" t="s">
        <v>383</v>
      </c>
      <c r="D20" s="122">
        <f>№6!F457</f>
        <v>37</v>
      </c>
      <c r="E20" s="122">
        <v>0</v>
      </c>
      <c r="F20" s="122">
        <v>0</v>
      </c>
      <c r="G20" s="120">
        <f>D20+E20+F20</f>
        <v>37</v>
      </c>
      <c r="H20" s="122">
        <f>№6!G457</f>
        <v>8.1999999999999993</v>
      </c>
      <c r="I20" s="122">
        <v>0</v>
      </c>
      <c r="J20" s="122">
        <v>0</v>
      </c>
      <c r="K20" s="120">
        <f>H20+I20+J20</f>
        <v>8.1999999999999993</v>
      </c>
      <c r="L20" s="114" t="s">
        <v>93</v>
      </c>
    </row>
    <row r="21" spans="1:12" ht="15.75" customHeight="1">
      <c r="A21" s="123"/>
      <c r="B21" s="154" t="s">
        <v>389</v>
      </c>
      <c r="C21" s="155"/>
      <c r="D21" s="156">
        <f>D10+D13+D18</f>
        <v>3153</v>
      </c>
      <c r="E21" s="156">
        <f t="shared" ref="E21:F21" si="9">E10+E13+E18</f>
        <v>17323.900000000001</v>
      </c>
      <c r="F21" s="156">
        <f t="shared" si="9"/>
        <v>3000.7</v>
      </c>
      <c r="G21" s="156">
        <f>G10+G13+G18</f>
        <v>23477.599999999999</v>
      </c>
      <c r="H21" s="156">
        <f t="shared" ref="H21:K21" si="10">H10+H13+H18</f>
        <v>3023.5</v>
      </c>
      <c r="I21" s="156">
        <f t="shared" si="10"/>
        <v>16897.5</v>
      </c>
      <c r="J21" s="156">
        <f t="shared" si="10"/>
        <v>3000.7</v>
      </c>
      <c r="K21" s="156">
        <f t="shared" si="10"/>
        <v>22921.7</v>
      </c>
      <c r="L21" s="157" t="s">
        <v>379</v>
      </c>
    </row>
  </sheetData>
  <mergeCells count="13">
    <mergeCell ref="A5:L5"/>
    <mergeCell ref="C1:L1"/>
    <mergeCell ref="C2:L2"/>
    <mergeCell ref="C3:L3"/>
    <mergeCell ref="H8:K8"/>
    <mergeCell ref="A6:L6"/>
    <mergeCell ref="A7:A9"/>
    <mergeCell ref="B7:B9"/>
    <mergeCell ref="C7:C9"/>
    <mergeCell ref="L7:L9"/>
    <mergeCell ref="D8:G8"/>
    <mergeCell ref="D7:G7"/>
    <mergeCell ref="H7:K7"/>
  </mergeCells>
  <pageMargins left="0.19685039370078741" right="0.19685039370078741" top="0.78740157480314965" bottom="0.19685039370078741" header="0.31496062992125984" footer="0.19685039370078741"/>
  <pageSetup paperSize="9" scale="86"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E23"/>
  <sheetViews>
    <sheetView tabSelected="1" zoomScale="90" zoomScaleNormal="90" workbookViewId="0">
      <selection activeCell="B4" sqref="B4"/>
    </sheetView>
  </sheetViews>
  <sheetFormatPr defaultColWidth="14.7109375" defaultRowHeight="15.75"/>
  <cols>
    <col min="1" max="1" width="5.140625" style="159" customWidth="1"/>
    <col min="2" max="2" width="63.42578125" style="159" customWidth="1"/>
    <col min="3" max="3" width="14.5703125" style="159" customWidth="1"/>
    <col min="4" max="4" width="14.42578125" style="159" customWidth="1"/>
    <col min="5" max="5" width="32.28515625" style="159" customWidth="1"/>
    <col min="6" max="255" width="14.7109375" style="159"/>
    <col min="256" max="256" width="8.28515625" style="159" customWidth="1"/>
    <col min="257" max="257" width="53.140625" style="159" customWidth="1"/>
    <col min="258" max="258" width="18" style="159" customWidth="1"/>
    <col min="259" max="260" width="17.5703125" style="159" customWidth="1"/>
    <col min="261" max="261" width="32.28515625" style="159" customWidth="1"/>
    <col min="262" max="511" width="14.7109375" style="159"/>
    <col min="512" max="512" width="8.28515625" style="159" customWidth="1"/>
    <col min="513" max="513" width="53.140625" style="159" customWidth="1"/>
    <col min="514" max="514" width="18" style="159" customWidth="1"/>
    <col min="515" max="516" width="17.5703125" style="159" customWidth="1"/>
    <col min="517" max="517" width="32.28515625" style="159" customWidth="1"/>
    <col min="518" max="767" width="14.7109375" style="159"/>
    <col min="768" max="768" width="8.28515625" style="159" customWidth="1"/>
    <col min="769" max="769" width="53.140625" style="159" customWidth="1"/>
    <col min="770" max="770" width="18" style="159" customWidth="1"/>
    <col min="771" max="772" width="17.5703125" style="159" customWidth="1"/>
    <col min="773" max="773" width="32.28515625" style="159" customWidth="1"/>
    <col min="774" max="1023" width="14.7109375" style="159"/>
    <col min="1024" max="1024" width="8.28515625" style="159" customWidth="1"/>
    <col min="1025" max="1025" width="53.140625" style="159" customWidth="1"/>
    <col min="1026" max="1026" width="18" style="159" customWidth="1"/>
    <col min="1027" max="1028" width="17.5703125" style="159" customWidth="1"/>
    <col min="1029" max="1029" width="32.28515625" style="159" customWidth="1"/>
    <col min="1030" max="1279" width="14.7109375" style="159"/>
    <col min="1280" max="1280" width="8.28515625" style="159" customWidth="1"/>
    <col min="1281" max="1281" width="53.140625" style="159" customWidth="1"/>
    <col min="1282" max="1282" width="18" style="159" customWidth="1"/>
    <col min="1283" max="1284" width="17.5703125" style="159" customWidth="1"/>
    <col min="1285" max="1285" width="32.28515625" style="159" customWidth="1"/>
    <col min="1286" max="1535" width="14.7109375" style="159"/>
    <col min="1536" max="1536" width="8.28515625" style="159" customWidth="1"/>
    <col min="1537" max="1537" width="53.140625" style="159" customWidth="1"/>
    <col min="1538" max="1538" width="18" style="159" customWidth="1"/>
    <col min="1539" max="1540" width="17.5703125" style="159" customWidth="1"/>
    <col min="1541" max="1541" width="32.28515625" style="159" customWidth="1"/>
    <col min="1542" max="1791" width="14.7109375" style="159"/>
    <col min="1792" max="1792" width="8.28515625" style="159" customWidth="1"/>
    <col min="1793" max="1793" width="53.140625" style="159" customWidth="1"/>
    <col min="1794" max="1794" width="18" style="159" customWidth="1"/>
    <col min="1795" max="1796" width="17.5703125" style="159" customWidth="1"/>
    <col min="1797" max="1797" width="32.28515625" style="159" customWidth="1"/>
    <col min="1798" max="2047" width="14.7109375" style="159"/>
    <col min="2048" max="2048" width="8.28515625" style="159" customWidth="1"/>
    <col min="2049" max="2049" width="53.140625" style="159" customWidth="1"/>
    <col min="2050" max="2050" width="18" style="159" customWidth="1"/>
    <col min="2051" max="2052" width="17.5703125" style="159" customWidth="1"/>
    <col min="2053" max="2053" width="32.28515625" style="159" customWidth="1"/>
    <col min="2054" max="2303" width="14.7109375" style="159"/>
    <col min="2304" max="2304" width="8.28515625" style="159" customWidth="1"/>
    <col min="2305" max="2305" width="53.140625" style="159" customWidth="1"/>
    <col min="2306" max="2306" width="18" style="159" customWidth="1"/>
    <col min="2307" max="2308" width="17.5703125" style="159" customWidth="1"/>
    <col min="2309" max="2309" width="32.28515625" style="159" customWidth="1"/>
    <col min="2310" max="2559" width="14.7109375" style="159"/>
    <col min="2560" max="2560" width="8.28515625" style="159" customWidth="1"/>
    <col min="2561" max="2561" width="53.140625" style="159" customWidth="1"/>
    <col min="2562" max="2562" width="18" style="159" customWidth="1"/>
    <col min="2563" max="2564" width="17.5703125" style="159" customWidth="1"/>
    <col min="2565" max="2565" width="32.28515625" style="159" customWidth="1"/>
    <col min="2566" max="2815" width="14.7109375" style="159"/>
    <col min="2816" max="2816" width="8.28515625" style="159" customWidth="1"/>
    <col min="2817" max="2817" width="53.140625" style="159" customWidth="1"/>
    <col min="2818" max="2818" width="18" style="159" customWidth="1"/>
    <col min="2819" max="2820" width="17.5703125" style="159" customWidth="1"/>
    <col min="2821" max="2821" width="32.28515625" style="159" customWidth="1"/>
    <col min="2822" max="3071" width="14.7109375" style="159"/>
    <col min="3072" max="3072" width="8.28515625" style="159" customWidth="1"/>
    <col min="3073" max="3073" width="53.140625" style="159" customWidth="1"/>
    <col min="3074" max="3074" width="18" style="159" customWidth="1"/>
    <col min="3075" max="3076" width="17.5703125" style="159" customWidth="1"/>
    <col min="3077" max="3077" width="32.28515625" style="159" customWidth="1"/>
    <col min="3078" max="3327" width="14.7109375" style="159"/>
    <col min="3328" max="3328" width="8.28515625" style="159" customWidth="1"/>
    <col min="3329" max="3329" width="53.140625" style="159" customWidth="1"/>
    <col min="3330" max="3330" width="18" style="159" customWidth="1"/>
    <col min="3331" max="3332" width="17.5703125" style="159" customWidth="1"/>
    <col min="3333" max="3333" width="32.28515625" style="159" customWidth="1"/>
    <col min="3334" max="3583" width="14.7109375" style="159"/>
    <col min="3584" max="3584" width="8.28515625" style="159" customWidth="1"/>
    <col min="3585" max="3585" width="53.140625" style="159" customWidth="1"/>
    <col min="3586" max="3586" width="18" style="159" customWidth="1"/>
    <col min="3587" max="3588" width="17.5703125" style="159" customWidth="1"/>
    <col min="3589" max="3589" width="32.28515625" style="159" customWidth="1"/>
    <col min="3590" max="3839" width="14.7109375" style="159"/>
    <col min="3840" max="3840" width="8.28515625" style="159" customWidth="1"/>
    <col min="3841" max="3841" width="53.140625" style="159" customWidth="1"/>
    <col min="3842" max="3842" width="18" style="159" customWidth="1"/>
    <col min="3843" max="3844" width="17.5703125" style="159" customWidth="1"/>
    <col min="3845" max="3845" width="32.28515625" style="159" customWidth="1"/>
    <col min="3846" max="4095" width="14.7109375" style="159"/>
    <col min="4096" max="4096" width="8.28515625" style="159" customWidth="1"/>
    <col min="4097" max="4097" width="53.140625" style="159" customWidth="1"/>
    <col min="4098" max="4098" width="18" style="159" customWidth="1"/>
    <col min="4099" max="4100" width="17.5703125" style="159" customWidth="1"/>
    <col min="4101" max="4101" width="32.28515625" style="159" customWidth="1"/>
    <col min="4102" max="4351" width="14.7109375" style="159"/>
    <col min="4352" max="4352" width="8.28515625" style="159" customWidth="1"/>
    <col min="4353" max="4353" width="53.140625" style="159" customWidth="1"/>
    <col min="4354" max="4354" width="18" style="159" customWidth="1"/>
    <col min="4355" max="4356" width="17.5703125" style="159" customWidth="1"/>
    <col min="4357" max="4357" width="32.28515625" style="159" customWidth="1"/>
    <col min="4358" max="4607" width="14.7109375" style="159"/>
    <col min="4608" max="4608" width="8.28515625" style="159" customWidth="1"/>
    <col min="4609" max="4609" width="53.140625" style="159" customWidth="1"/>
    <col min="4610" max="4610" width="18" style="159" customWidth="1"/>
    <col min="4611" max="4612" width="17.5703125" style="159" customWidth="1"/>
    <col min="4613" max="4613" width="32.28515625" style="159" customWidth="1"/>
    <col min="4614" max="4863" width="14.7109375" style="159"/>
    <col min="4864" max="4864" width="8.28515625" style="159" customWidth="1"/>
    <col min="4865" max="4865" width="53.140625" style="159" customWidth="1"/>
    <col min="4866" max="4866" width="18" style="159" customWidth="1"/>
    <col min="4867" max="4868" width="17.5703125" style="159" customWidth="1"/>
    <col min="4869" max="4869" width="32.28515625" style="159" customWidth="1"/>
    <col min="4870" max="5119" width="14.7109375" style="159"/>
    <col min="5120" max="5120" width="8.28515625" style="159" customWidth="1"/>
    <col min="5121" max="5121" width="53.140625" style="159" customWidth="1"/>
    <col min="5122" max="5122" width="18" style="159" customWidth="1"/>
    <col min="5123" max="5124" width="17.5703125" style="159" customWidth="1"/>
    <col min="5125" max="5125" width="32.28515625" style="159" customWidth="1"/>
    <col min="5126" max="5375" width="14.7109375" style="159"/>
    <col min="5376" max="5376" width="8.28515625" style="159" customWidth="1"/>
    <col min="5377" max="5377" width="53.140625" style="159" customWidth="1"/>
    <col min="5378" max="5378" width="18" style="159" customWidth="1"/>
    <col min="5379" max="5380" width="17.5703125" style="159" customWidth="1"/>
    <col min="5381" max="5381" width="32.28515625" style="159" customWidth="1"/>
    <col min="5382" max="5631" width="14.7109375" style="159"/>
    <col min="5632" max="5632" width="8.28515625" style="159" customWidth="1"/>
    <col min="5633" max="5633" width="53.140625" style="159" customWidth="1"/>
    <col min="5634" max="5634" width="18" style="159" customWidth="1"/>
    <col min="5635" max="5636" width="17.5703125" style="159" customWidth="1"/>
    <col min="5637" max="5637" width="32.28515625" style="159" customWidth="1"/>
    <col min="5638" max="5887" width="14.7109375" style="159"/>
    <col min="5888" max="5888" width="8.28515625" style="159" customWidth="1"/>
    <col min="5889" max="5889" width="53.140625" style="159" customWidth="1"/>
    <col min="5890" max="5890" width="18" style="159" customWidth="1"/>
    <col min="5891" max="5892" width="17.5703125" style="159" customWidth="1"/>
    <col min="5893" max="5893" width="32.28515625" style="159" customWidth="1"/>
    <col min="5894" max="6143" width="14.7109375" style="159"/>
    <col min="6144" max="6144" width="8.28515625" style="159" customWidth="1"/>
    <col min="6145" max="6145" width="53.140625" style="159" customWidth="1"/>
    <col min="6146" max="6146" width="18" style="159" customWidth="1"/>
    <col min="6147" max="6148" width="17.5703125" style="159" customWidth="1"/>
    <col min="6149" max="6149" width="32.28515625" style="159" customWidth="1"/>
    <col min="6150" max="6399" width="14.7109375" style="159"/>
    <col min="6400" max="6400" width="8.28515625" style="159" customWidth="1"/>
    <col min="6401" max="6401" width="53.140625" style="159" customWidth="1"/>
    <col min="6402" max="6402" width="18" style="159" customWidth="1"/>
    <col min="6403" max="6404" width="17.5703125" style="159" customWidth="1"/>
    <col min="6405" max="6405" width="32.28515625" style="159" customWidth="1"/>
    <col min="6406" max="6655" width="14.7109375" style="159"/>
    <col min="6656" max="6656" width="8.28515625" style="159" customWidth="1"/>
    <col min="6657" max="6657" width="53.140625" style="159" customWidth="1"/>
    <col min="6658" max="6658" width="18" style="159" customWidth="1"/>
    <col min="6659" max="6660" width="17.5703125" style="159" customWidth="1"/>
    <col min="6661" max="6661" width="32.28515625" style="159" customWidth="1"/>
    <col min="6662" max="6911" width="14.7109375" style="159"/>
    <col min="6912" max="6912" width="8.28515625" style="159" customWidth="1"/>
    <col min="6913" max="6913" width="53.140625" style="159" customWidth="1"/>
    <col min="6914" max="6914" width="18" style="159" customWidth="1"/>
    <col min="6915" max="6916" width="17.5703125" style="159" customWidth="1"/>
    <col min="6917" max="6917" width="32.28515625" style="159" customWidth="1"/>
    <col min="6918" max="7167" width="14.7109375" style="159"/>
    <col min="7168" max="7168" width="8.28515625" style="159" customWidth="1"/>
    <col min="7169" max="7169" width="53.140625" style="159" customWidth="1"/>
    <col min="7170" max="7170" width="18" style="159" customWidth="1"/>
    <col min="7171" max="7172" width="17.5703125" style="159" customWidth="1"/>
    <col min="7173" max="7173" width="32.28515625" style="159" customWidth="1"/>
    <col min="7174" max="7423" width="14.7109375" style="159"/>
    <col min="7424" max="7424" width="8.28515625" style="159" customWidth="1"/>
    <col min="7425" max="7425" width="53.140625" style="159" customWidth="1"/>
    <col min="7426" max="7426" width="18" style="159" customWidth="1"/>
    <col min="7427" max="7428" width="17.5703125" style="159" customWidth="1"/>
    <col min="7429" max="7429" width="32.28515625" style="159" customWidth="1"/>
    <col min="7430" max="7679" width="14.7109375" style="159"/>
    <col min="7680" max="7680" width="8.28515625" style="159" customWidth="1"/>
    <col min="7681" max="7681" width="53.140625" style="159" customWidth="1"/>
    <col min="7682" max="7682" width="18" style="159" customWidth="1"/>
    <col min="7683" max="7684" width="17.5703125" style="159" customWidth="1"/>
    <col min="7685" max="7685" width="32.28515625" style="159" customWidth="1"/>
    <col min="7686" max="7935" width="14.7109375" style="159"/>
    <col min="7936" max="7936" width="8.28515625" style="159" customWidth="1"/>
    <col min="7937" max="7937" width="53.140625" style="159" customWidth="1"/>
    <col min="7938" max="7938" width="18" style="159" customWidth="1"/>
    <col min="7939" max="7940" width="17.5703125" style="159" customWidth="1"/>
    <col min="7941" max="7941" width="32.28515625" style="159" customWidth="1"/>
    <col min="7942" max="8191" width="14.7109375" style="159"/>
    <col min="8192" max="8192" width="8.28515625" style="159" customWidth="1"/>
    <col min="8193" max="8193" width="53.140625" style="159" customWidth="1"/>
    <col min="8194" max="8194" width="18" style="159" customWidth="1"/>
    <col min="8195" max="8196" width="17.5703125" style="159" customWidth="1"/>
    <col min="8197" max="8197" width="32.28515625" style="159" customWidth="1"/>
    <col min="8198" max="8447" width="14.7109375" style="159"/>
    <col min="8448" max="8448" width="8.28515625" style="159" customWidth="1"/>
    <col min="8449" max="8449" width="53.140625" style="159" customWidth="1"/>
    <col min="8450" max="8450" width="18" style="159" customWidth="1"/>
    <col min="8451" max="8452" width="17.5703125" style="159" customWidth="1"/>
    <col min="8453" max="8453" width="32.28515625" style="159" customWidth="1"/>
    <col min="8454" max="8703" width="14.7109375" style="159"/>
    <col min="8704" max="8704" width="8.28515625" style="159" customWidth="1"/>
    <col min="8705" max="8705" width="53.140625" style="159" customWidth="1"/>
    <col min="8706" max="8706" width="18" style="159" customWidth="1"/>
    <col min="8707" max="8708" width="17.5703125" style="159" customWidth="1"/>
    <col min="8709" max="8709" width="32.28515625" style="159" customWidth="1"/>
    <col min="8710" max="8959" width="14.7109375" style="159"/>
    <col min="8960" max="8960" width="8.28515625" style="159" customWidth="1"/>
    <col min="8961" max="8961" width="53.140625" style="159" customWidth="1"/>
    <col min="8962" max="8962" width="18" style="159" customWidth="1"/>
    <col min="8963" max="8964" width="17.5703125" style="159" customWidth="1"/>
    <col min="8965" max="8965" width="32.28515625" style="159" customWidth="1"/>
    <col min="8966" max="9215" width="14.7109375" style="159"/>
    <col min="9216" max="9216" width="8.28515625" style="159" customWidth="1"/>
    <col min="9217" max="9217" width="53.140625" style="159" customWidth="1"/>
    <col min="9218" max="9218" width="18" style="159" customWidth="1"/>
    <col min="9219" max="9220" width="17.5703125" style="159" customWidth="1"/>
    <col min="9221" max="9221" width="32.28515625" style="159" customWidth="1"/>
    <col min="9222" max="9471" width="14.7109375" style="159"/>
    <col min="9472" max="9472" width="8.28515625" style="159" customWidth="1"/>
    <col min="9473" max="9473" width="53.140625" style="159" customWidth="1"/>
    <col min="9474" max="9474" width="18" style="159" customWidth="1"/>
    <col min="9475" max="9476" width="17.5703125" style="159" customWidth="1"/>
    <col min="9477" max="9477" width="32.28515625" style="159" customWidth="1"/>
    <col min="9478" max="9727" width="14.7109375" style="159"/>
    <col min="9728" max="9728" width="8.28515625" style="159" customWidth="1"/>
    <col min="9729" max="9729" width="53.140625" style="159" customWidth="1"/>
    <col min="9730" max="9730" width="18" style="159" customWidth="1"/>
    <col min="9731" max="9732" width="17.5703125" style="159" customWidth="1"/>
    <col min="9733" max="9733" width="32.28515625" style="159" customWidth="1"/>
    <col min="9734" max="9983" width="14.7109375" style="159"/>
    <col min="9984" max="9984" width="8.28515625" style="159" customWidth="1"/>
    <col min="9985" max="9985" width="53.140625" style="159" customWidth="1"/>
    <col min="9986" max="9986" width="18" style="159" customWidth="1"/>
    <col min="9987" max="9988" width="17.5703125" style="159" customWidth="1"/>
    <col min="9989" max="9989" width="32.28515625" style="159" customWidth="1"/>
    <col min="9990" max="10239" width="14.7109375" style="159"/>
    <col min="10240" max="10240" width="8.28515625" style="159" customWidth="1"/>
    <col min="10241" max="10241" width="53.140625" style="159" customWidth="1"/>
    <col min="10242" max="10242" width="18" style="159" customWidth="1"/>
    <col min="10243" max="10244" width="17.5703125" style="159" customWidth="1"/>
    <col min="10245" max="10245" width="32.28515625" style="159" customWidth="1"/>
    <col min="10246" max="10495" width="14.7109375" style="159"/>
    <col min="10496" max="10496" width="8.28515625" style="159" customWidth="1"/>
    <col min="10497" max="10497" width="53.140625" style="159" customWidth="1"/>
    <col min="10498" max="10498" width="18" style="159" customWidth="1"/>
    <col min="10499" max="10500" width="17.5703125" style="159" customWidth="1"/>
    <col min="10501" max="10501" width="32.28515625" style="159" customWidth="1"/>
    <col min="10502" max="10751" width="14.7109375" style="159"/>
    <col min="10752" max="10752" width="8.28515625" style="159" customWidth="1"/>
    <col min="10753" max="10753" width="53.140625" style="159" customWidth="1"/>
    <col min="10754" max="10754" width="18" style="159" customWidth="1"/>
    <col min="10755" max="10756" width="17.5703125" style="159" customWidth="1"/>
    <col min="10757" max="10757" width="32.28515625" style="159" customWidth="1"/>
    <col min="10758" max="11007" width="14.7109375" style="159"/>
    <col min="11008" max="11008" width="8.28515625" style="159" customWidth="1"/>
    <col min="11009" max="11009" width="53.140625" style="159" customWidth="1"/>
    <col min="11010" max="11010" width="18" style="159" customWidth="1"/>
    <col min="11011" max="11012" width="17.5703125" style="159" customWidth="1"/>
    <col min="11013" max="11013" width="32.28515625" style="159" customWidth="1"/>
    <col min="11014" max="11263" width="14.7109375" style="159"/>
    <col min="11264" max="11264" width="8.28515625" style="159" customWidth="1"/>
    <col min="11265" max="11265" width="53.140625" style="159" customWidth="1"/>
    <col min="11266" max="11266" width="18" style="159" customWidth="1"/>
    <col min="11267" max="11268" width="17.5703125" style="159" customWidth="1"/>
    <col min="11269" max="11269" width="32.28515625" style="159" customWidth="1"/>
    <col min="11270" max="11519" width="14.7109375" style="159"/>
    <col min="11520" max="11520" width="8.28515625" style="159" customWidth="1"/>
    <col min="11521" max="11521" width="53.140625" style="159" customWidth="1"/>
    <col min="11522" max="11522" width="18" style="159" customWidth="1"/>
    <col min="11523" max="11524" width="17.5703125" style="159" customWidth="1"/>
    <col min="11525" max="11525" width="32.28515625" style="159" customWidth="1"/>
    <col min="11526" max="11775" width="14.7109375" style="159"/>
    <col min="11776" max="11776" width="8.28515625" style="159" customWidth="1"/>
    <col min="11777" max="11777" width="53.140625" style="159" customWidth="1"/>
    <col min="11778" max="11778" width="18" style="159" customWidth="1"/>
    <col min="11779" max="11780" width="17.5703125" style="159" customWidth="1"/>
    <col min="11781" max="11781" width="32.28515625" style="159" customWidth="1"/>
    <col min="11782" max="12031" width="14.7109375" style="159"/>
    <col min="12032" max="12032" width="8.28515625" style="159" customWidth="1"/>
    <col min="12033" max="12033" width="53.140625" style="159" customWidth="1"/>
    <col min="12034" max="12034" width="18" style="159" customWidth="1"/>
    <col min="12035" max="12036" width="17.5703125" style="159" customWidth="1"/>
    <col min="12037" max="12037" width="32.28515625" style="159" customWidth="1"/>
    <col min="12038" max="12287" width="14.7109375" style="159"/>
    <col min="12288" max="12288" width="8.28515625" style="159" customWidth="1"/>
    <col min="12289" max="12289" width="53.140625" style="159" customWidth="1"/>
    <col min="12290" max="12290" width="18" style="159" customWidth="1"/>
    <col min="12291" max="12292" width="17.5703125" style="159" customWidth="1"/>
    <col min="12293" max="12293" width="32.28515625" style="159" customWidth="1"/>
    <col min="12294" max="12543" width="14.7109375" style="159"/>
    <col min="12544" max="12544" width="8.28515625" style="159" customWidth="1"/>
    <col min="12545" max="12545" width="53.140625" style="159" customWidth="1"/>
    <col min="12546" max="12546" width="18" style="159" customWidth="1"/>
    <col min="12547" max="12548" width="17.5703125" style="159" customWidth="1"/>
    <col min="12549" max="12549" width="32.28515625" style="159" customWidth="1"/>
    <col min="12550" max="12799" width="14.7109375" style="159"/>
    <col min="12800" max="12800" width="8.28515625" style="159" customWidth="1"/>
    <col min="12801" max="12801" width="53.140625" style="159" customWidth="1"/>
    <col min="12802" max="12802" width="18" style="159" customWidth="1"/>
    <col min="12803" max="12804" width="17.5703125" style="159" customWidth="1"/>
    <col min="12805" max="12805" width="32.28515625" style="159" customWidth="1"/>
    <col min="12806" max="13055" width="14.7109375" style="159"/>
    <col min="13056" max="13056" width="8.28515625" style="159" customWidth="1"/>
    <col min="13057" max="13057" width="53.140625" style="159" customWidth="1"/>
    <col min="13058" max="13058" width="18" style="159" customWidth="1"/>
    <col min="13059" max="13060" width="17.5703125" style="159" customWidth="1"/>
    <col min="13061" max="13061" width="32.28515625" style="159" customWidth="1"/>
    <col min="13062" max="13311" width="14.7109375" style="159"/>
    <col min="13312" max="13312" width="8.28515625" style="159" customWidth="1"/>
    <col min="13313" max="13313" width="53.140625" style="159" customWidth="1"/>
    <col min="13314" max="13314" width="18" style="159" customWidth="1"/>
    <col min="13315" max="13316" width="17.5703125" style="159" customWidth="1"/>
    <col min="13317" max="13317" width="32.28515625" style="159" customWidth="1"/>
    <col min="13318" max="13567" width="14.7109375" style="159"/>
    <col min="13568" max="13568" width="8.28515625" style="159" customWidth="1"/>
    <col min="13569" max="13569" width="53.140625" style="159" customWidth="1"/>
    <col min="13570" max="13570" width="18" style="159" customWidth="1"/>
    <col min="13571" max="13572" width="17.5703125" style="159" customWidth="1"/>
    <col min="13573" max="13573" width="32.28515625" style="159" customWidth="1"/>
    <col min="13574" max="13823" width="14.7109375" style="159"/>
    <col min="13824" max="13824" width="8.28515625" style="159" customWidth="1"/>
    <col min="13825" max="13825" width="53.140625" style="159" customWidth="1"/>
    <col min="13826" max="13826" width="18" style="159" customWidth="1"/>
    <col min="13827" max="13828" width="17.5703125" style="159" customWidth="1"/>
    <col min="13829" max="13829" width="32.28515625" style="159" customWidth="1"/>
    <col min="13830" max="14079" width="14.7109375" style="159"/>
    <col min="14080" max="14080" width="8.28515625" style="159" customWidth="1"/>
    <col min="14081" max="14081" width="53.140625" style="159" customWidth="1"/>
    <col min="14082" max="14082" width="18" style="159" customWidth="1"/>
    <col min="14083" max="14084" width="17.5703125" style="159" customWidth="1"/>
    <col min="14085" max="14085" width="32.28515625" style="159" customWidth="1"/>
    <col min="14086" max="14335" width="14.7109375" style="159"/>
    <col min="14336" max="14336" width="8.28515625" style="159" customWidth="1"/>
    <col min="14337" max="14337" width="53.140625" style="159" customWidth="1"/>
    <col min="14338" max="14338" width="18" style="159" customWidth="1"/>
    <col min="14339" max="14340" width="17.5703125" style="159" customWidth="1"/>
    <col min="14341" max="14341" width="32.28515625" style="159" customWidth="1"/>
    <col min="14342" max="14591" width="14.7109375" style="159"/>
    <col min="14592" max="14592" width="8.28515625" style="159" customWidth="1"/>
    <col min="14593" max="14593" width="53.140625" style="159" customWidth="1"/>
    <col min="14594" max="14594" width="18" style="159" customWidth="1"/>
    <col min="14595" max="14596" width="17.5703125" style="159" customWidth="1"/>
    <col min="14597" max="14597" width="32.28515625" style="159" customWidth="1"/>
    <col min="14598" max="14847" width="14.7109375" style="159"/>
    <col min="14848" max="14848" width="8.28515625" style="159" customWidth="1"/>
    <col min="14849" max="14849" width="53.140625" style="159" customWidth="1"/>
    <col min="14850" max="14850" width="18" style="159" customWidth="1"/>
    <col min="14851" max="14852" width="17.5703125" style="159" customWidth="1"/>
    <col min="14853" max="14853" width="32.28515625" style="159" customWidth="1"/>
    <col min="14854" max="15103" width="14.7109375" style="159"/>
    <col min="15104" max="15104" width="8.28515625" style="159" customWidth="1"/>
    <col min="15105" max="15105" width="53.140625" style="159" customWidth="1"/>
    <col min="15106" max="15106" width="18" style="159" customWidth="1"/>
    <col min="15107" max="15108" width="17.5703125" style="159" customWidth="1"/>
    <col min="15109" max="15109" width="32.28515625" style="159" customWidth="1"/>
    <col min="15110" max="15359" width="14.7109375" style="159"/>
    <col min="15360" max="15360" width="8.28515625" style="159" customWidth="1"/>
    <col min="15361" max="15361" width="53.140625" style="159" customWidth="1"/>
    <col min="15362" max="15362" width="18" style="159" customWidth="1"/>
    <col min="15363" max="15364" width="17.5703125" style="159" customWidth="1"/>
    <col min="15365" max="15365" width="32.28515625" style="159" customWidth="1"/>
    <col min="15366" max="15615" width="14.7109375" style="159"/>
    <col min="15616" max="15616" width="8.28515625" style="159" customWidth="1"/>
    <col min="15617" max="15617" width="53.140625" style="159" customWidth="1"/>
    <col min="15618" max="15618" width="18" style="159" customWidth="1"/>
    <col min="15619" max="15620" width="17.5703125" style="159" customWidth="1"/>
    <col min="15621" max="15621" width="32.28515625" style="159" customWidth="1"/>
    <col min="15622" max="15871" width="14.7109375" style="159"/>
    <col min="15872" max="15872" width="8.28515625" style="159" customWidth="1"/>
    <col min="15873" max="15873" width="53.140625" style="159" customWidth="1"/>
    <col min="15874" max="15874" width="18" style="159" customWidth="1"/>
    <col min="15875" max="15876" width="17.5703125" style="159" customWidth="1"/>
    <col min="15877" max="15877" width="32.28515625" style="159" customWidth="1"/>
    <col min="15878" max="16127" width="14.7109375" style="159"/>
    <col min="16128" max="16128" width="8.28515625" style="159" customWidth="1"/>
    <col min="16129" max="16129" width="53.140625" style="159" customWidth="1"/>
    <col min="16130" max="16130" width="18" style="159" customWidth="1"/>
    <col min="16131" max="16132" width="17.5703125" style="159" customWidth="1"/>
    <col min="16133" max="16133" width="32.28515625" style="159" customWidth="1"/>
    <col min="16134" max="16384" width="14.7109375" style="159"/>
  </cols>
  <sheetData>
    <row r="1" spans="1:5">
      <c r="C1" s="360" t="s">
        <v>847</v>
      </c>
      <c r="D1" s="360"/>
    </row>
    <row r="2" spans="1:5" ht="19.5" customHeight="1">
      <c r="B2" s="362" t="s">
        <v>846</v>
      </c>
      <c r="C2" s="362"/>
      <c r="D2" s="362"/>
      <c r="E2" s="160"/>
    </row>
    <row r="3" spans="1:5">
      <c r="B3" s="360" t="s">
        <v>875</v>
      </c>
      <c r="C3" s="360"/>
      <c r="D3" s="360"/>
    </row>
    <row r="4" spans="1:5">
      <c r="B4" s="161"/>
      <c r="C4" s="161"/>
      <c r="D4" s="161"/>
    </row>
    <row r="5" spans="1:5" ht="46.5" customHeight="1">
      <c r="A5" s="363" t="s">
        <v>483</v>
      </c>
      <c r="B5" s="363"/>
      <c r="C5" s="363"/>
      <c r="D5" s="363"/>
    </row>
    <row r="6" spans="1:5" ht="6" customHeight="1">
      <c r="A6" s="364"/>
      <c r="B6" s="364"/>
      <c r="C6" s="364"/>
      <c r="D6" s="364"/>
    </row>
    <row r="7" spans="1:5" ht="16.5" customHeight="1">
      <c r="A7" s="162" t="s">
        <v>422</v>
      </c>
      <c r="B7" s="162" t="s">
        <v>423</v>
      </c>
      <c r="C7" s="162"/>
      <c r="D7" s="162"/>
    </row>
    <row r="8" spans="1:5">
      <c r="A8" s="163"/>
    </row>
    <row r="9" spans="1:5" s="165" customFormat="1" ht="49.5">
      <c r="A9" s="218" t="s">
        <v>424</v>
      </c>
      <c r="B9" s="218" t="s">
        <v>425</v>
      </c>
      <c r="C9" s="224" t="s">
        <v>473</v>
      </c>
      <c r="D9" s="225" t="s">
        <v>475</v>
      </c>
    </row>
    <row r="10" spans="1:5" s="165" customFormat="1">
      <c r="A10" s="130">
        <v>1</v>
      </c>
      <c r="B10" s="130">
        <v>2</v>
      </c>
      <c r="C10" s="130">
        <v>3</v>
      </c>
      <c r="D10" s="130">
        <v>4</v>
      </c>
    </row>
    <row r="11" spans="1:5" ht="18.75" customHeight="1">
      <c r="A11" s="166">
        <v>1</v>
      </c>
      <c r="B11" s="167" t="s">
        <v>426</v>
      </c>
      <c r="C11" s="168">
        <f>14000-14000</f>
        <v>0</v>
      </c>
      <c r="D11" s="168">
        <v>0</v>
      </c>
    </row>
    <row r="12" spans="1:5" ht="47.25">
      <c r="A12" s="166">
        <v>2</v>
      </c>
      <c r="B12" s="167" t="s">
        <v>435</v>
      </c>
      <c r="C12" s="136">
        <v>29098</v>
      </c>
      <c r="D12" s="136">
        <v>0</v>
      </c>
    </row>
    <row r="13" spans="1:5" ht="20.45" customHeight="1">
      <c r="A13" s="166"/>
      <c r="B13" s="169" t="s">
        <v>427</v>
      </c>
      <c r="C13" s="170">
        <f>C11+C12</f>
        <v>29098</v>
      </c>
      <c r="D13" s="170">
        <f t="shared" ref="D13" si="0">D11+D12</f>
        <v>0</v>
      </c>
    </row>
    <row r="14" spans="1:5">
      <c r="C14" s="164"/>
      <c r="D14" s="164"/>
    </row>
    <row r="15" spans="1:5" ht="16.5" customHeight="1">
      <c r="A15" s="361" t="s">
        <v>428</v>
      </c>
      <c r="B15" s="361"/>
      <c r="C15" s="361"/>
      <c r="D15" s="361"/>
    </row>
    <row r="17" spans="1:4" s="165" customFormat="1" ht="49.5">
      <c r="A17" s="218" t="s">
        <v>429</v>
      </c>
      <c r="B17" s="218" t="s">
        <v>430</v>
      </c>
      <c r="C17" s="224" t="s">
        <v>473</v>
      </c>
      <c r="D17" s="225" t="s">
        <v>475</v>
      </c>
    </row>
    <row r="18" spans="1:4" s="165" customFormat="1">
      <c r="A18" s="130">
        <v>1</v>
      </c>
      <c r="B18" s="130">
        <v>2</v>
      </c>
      <c r="C18" s="130">
        <v>3</v>
      </c>
      <c r="D18" s="130">
        <v>4</v>
      </c>
    </row>
    <row r="19" spans="1:4" ht="31.5">
      <c r="A19" s="171">
        <v>1</v>
      </c>
      <c r="B19" s="172" t="s">
        <v>431</v>
      </c>
      <c r="C19" s="173">
        <f>C21+C22</f>
        <v>39098</v>
      </c>
      <c r="D19" s="173">
        <f t="shared" ref="D19" si="1">D21+D22</f>
        <v>10000</v>
      </c>
    </row>
    <row r="20" spans="1:4">
      <c r="A20" s="174"/>
      <c r="B20" s="172" t="s">
        <v>432</v>
      </c>
      <c r="C20" s="171"/>
      <c r="D20" s="173"/>
    </row>
    <row r="21" spans="1:4" ht="20.25" customHeight="1">
      <c r="A21" s="174"/>
      <c r="B21" s="172" t="s">
        <v>433</v>
      </c>
      <c r="C21" s="173">
        <v>10000</v>
      </c>
      <c r="D21" s="173">
        <v>10000</v>
      </c>
    </row>
    <row r="22" spans="1:4" ht="47.25">
      <c r="A22" s="174"/>
      <c r="B22" s="167" t="s">
        <v>434</v>
      </c>
      <c r="C22" s="136">
        <v>29098</v>
      </c>
      <c r="D22" s="136">
        <v>0</v>
      </c>
    </row>
    <row r="23" spans="1:4" ht="18" customHeight="1">
      <c r="A23" s="174"/>
      <c r="B23" s="175" t="s">
        <v>427</v>
      </c>
      <c r="C23" s="176">
        <f>C19</f>
        <v>39098</v>
      </c>
      <c r="D23" s="176">
        <f>D19</f>
        <v>10000</v>
      </c>
    </row>
  </sheetData>
  <mergeCells count="6">
    <mergeCell ref="C1:D1"/>
    <mergeCell ref="A15:D15"/>
    <mergeCell ref="B2:D2"/>
    <mergeCell ref="B3:D3"/>
    <mergeCell ref="A5:D5"/>
    <mergeCell ref="A6:D6"/>
  </mergeCells>
  <pageMargins left="0.78740157480314965" right="0.19685039370078741" top="0.35433070866141736" bottom="0.15748031496062992"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20"/>
  <sheetViews>
    <sheetView workbookViewId="0">
      <selection activeCell="A4" sqref="A4"/>
    </sheetView>
  </sheetViews>
  <sheetFormatPr defaultColWidth="9.140625" defaultRowHeight="15.75"/>
  <cols>
    <col min="1" max="1" width="44.7109375" style="51" customWidth="1"/>
    <col min="2" max="2" width="17.42578125" style="51" customWidth="1"/>
    <col min="3" max="3" width="28.140625" style="51" customWidth="1"/>
    <col min="4" max="4" width="14.5703125" style="140" customWidth="1"/>
    <col min="5" max="5" width="14" style="51" customWidth="1"/>
    <col min="6" max="16384" width="9.140625" style="51"/>
  </cols>
  <sheetData>
    <row r="1" spans="1:5">
      <c r="A1" s="321" t="s">
        <v>848</v>
      </c>
      <c r="B1" s="321"/>
      <c r="C1" s="321"/>
      <c r="D1" s="321"/>
      <c r="E1" s="321"/>
    </row>
    <row r="2" spans="1:5">
      <c r="A2" s="321" t="s">
        <v>484</v>
      </c>
      <c r="B2" s="321"/>
      <c r="C2" s="321"/>
      <c r="D2" s="321"/>
      <c r="E2" s="321"/>
    </row>
    <row r="3" spans="1:5">
      <c r="A3" s="321" t="s">
        <v>876</v>
      </c>
      <c r="B3" s="321"/>
      <c r="C3" s="321"/>
      <c r="D3" s="321"/>
      <c r="E3" s="321"/>
    </row>
    <row r="5" spans="1:5">
      <c r="A5" s="322" t="s">
        <v>485</v>
      </c>
      <c r="B5" s="322"/>
      <c r="C5" s="322"/>
      <c r="D5" s="322"/>
      <c r="E5" s="322"/>
    </row>
    <row r="6" spans="1:5">
      <c r="A6" s="322" t="s">
        <v>493</v>
      </c>
      <c r="B6" s="322"/>
      <c r="C6" s="322"/>
      <c r="D6" s="322"/>
      <c r="E6" s="322"/>
    </row>
    <row r="7" spans="1:5">
      <c r="E7" s="51" t="s">
        <v>474</v>
      </c>
    </row>
    <row r="8" spans="1:5" ht="23.45" customHeight="1">
      <c r="A8" s="326" t="s">
        <v>23</v>
      </c>
      <c r="B8" s="328" t="s">
        <v>486</v>
      </c>
      <c r="C8" s="329"/>
      <c r="D8" s="326" t="s">
        <v>473</v>
      </c>
      <c r="E8" s="326" t="s">
        <v>475</v>
      </c>
    </row>
    <row r="9" spans="1:5" ht="52.9" customHeight="1">
      <c r="A9" s="327"/>
      <c r="B9" s="129" t="s">
        <v>487</v>
      </c>
      <c r="C9" s="129" t="s">
        <v>488</v>
      </c>
      <c r="D9" s="327"/>
      <c r="E9" s="327"/>
    </row>
    <row r="10" spans="1:5">
      <c r="A10" s="129">
        <v>1</v>
      </c>
      <c r="B10" s="129">
        <v>2</v>
      </c>
      <c r="C10" s="129">
        <v>3</v>
      </c>
      <c r="D10" s="129">
        <v>4</v>
      </c>
      <c r="E10" s="130">
        <v>5</v>
      </c>
    </row>
    <row r="11" spans="1:5" ht="33" customHeight="1">
      <c r="A11" s="132" t="s">
        <v>489</v>
      </c>
      <c r="B11" s="226" t="s">
        <v>40</v>
      </c>
      <c r="C11" s="132"/>
      <c r="D11" s="133">
        <f>SUM(D12:D16)</f>
        <v>11608.900000000023</v>
      </c>
      <c r="E11" s="133">
        <f>SUM(E12:E16)</f>
        <v>-54691.099999999977</v>
      </c>
    </row>
    <row r="12" spans="1:5" ht="63">
      <c r="A12" s="135" t="s">
        <v>436</v>
      </c>
      <c r="B12" s="227" t="s">
        <v>40</v>
      </c>
      <c r="C12" s="134" t="s">
        <v>871</v>
      </c>
      <c r="D12" s="136">
        <v>29098</v>
      </c>
      <c r="E12" s="136">
        <v>0</v>
      </c>
    </row>
    <row r="13" spans="1:5" ht="68.25" customHeight="1">
      <c r="A13" s="135" t="s">
        <v>400</v>
      </c>
      <c r="B13" s="227" t="s">
        <v>40</v>
      </c>
      <c r="C13" s="134" t="s">
        <v>490</v>
      </c>
      <c r="D13" s="137">
        <v>-10000</v>
      </c>
      <c r="E13" s="136">
        <v>-10000</v>
      </c>
    </row>
    <row r="14" spans="1:5" ht="63" customHeight="1">
      <c r="A14" s="135" t="s">
        <v>438</v>
      </c>
      <c r="B14" s="227" t="s">
        <v>40</v>
      </c>
      <c r="C14" s="134" t="s">
        <v>872</v>
      </c>
      <c r="D14" s="136">
        <v>-29098</v>
      </c>
      <c r="E14" s="136">
        <v>0</v>
      </c>
    </row>
    <row r="15" spans="1:5" ht="35.25" customHeight="1">
      <c r="A15" s="135" t="s">
        <v>408</v>
      </c>
      <c r="B15" s="227" t="s">
        <v>40</v>
      </c>
      <c r="C15" s="134" t="s">
        <v>491</v>
      </c>
      <c r="D15" s="136">
        <f>-(872845.4+29098)</f>
        <v>-901943.4</v>
      </c>
      <c r="E15" s="208">
        <v>-881207.7</v>
      </c>
    </row>
    <row r="16" spans="1:5" ht="35.25" customHeight="1">
      <c r="A16" s="135" t="s">
        <v>414</v>
      </c>
      <c r="B16" s="227" t="s">
        <v>40</v>
      </c>
      <c r="C16" s="134" t="s">
        <v>492</v>
      </c>
      <c r="D16" s="136">
        <f>884454.3+10000+29098</f>
        <v>923552.3</v>
      </c>
      <c r="E16" s="208">
        <v>836516.6</v>
      </c>
    </row>
    <row r="17" spans="1:5" ht="19.5" customHeight="1">
      <c r="A17" s="323" t="s">
        <v>415</v>
      </c>
      <c r="B17" s="324"/>
      <c r="C17" s="325"/>
      <c r="D17" s="133">
        <f>D11</f>
        <v>11608.900000000023</v>
      </c>
      <c r="E17" s="133">
        <f>E11</f>
        <v>-54691.099999999977</v>
      </c>
    </row>
    <row r="19" spans="1:5" s="140" customFormat="1">
      <c r="A19" s="139"/>
      <c r="B19" s="139"/>
      <c r="C19" s="139"/>
      <c r="E19" s="51"/>
    </row>
    <row r="20" spans="1:5" s="140" customFormat="1">
      <c r="A20" s="217"/>
      <c r="B20" s="217"/>
      <c r="C20" s="217"/>
      <c r="E20" s="51"/>
    </row>
  </sheetData>
  <mergeCells count="10">
    <mergeCell ref="A17:C17"/>
    <mergeCell ref="A1:E1"/>
    <mergeCell ref="A2:E2"/>
    <mergeCell ref="A3:E3"/>
    <mergeCell ref="A5:E5"/>
    <mergeCell ref="A6:E6"/>
    <mergeCell ref="A8:A9"/>
    <mergeCell ref="B8:C8"/>
    <mergeCell ref="D8:D9"/>
    <mergeCell ref="E8:E9"/>
  </mergeCells>
  <pageMargins left="0.78740157480314965" right="0.19685039370078741" top="0.19685039370078741" bottom="0.19685039370078741"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dimension ref="A1:G149"/>
  <sheetViews>
    <sheetView zoomScale="84" zoomScaleNormal="84" workbookViewId="0">
      <selection activeCell="B3" sqref="B3:D3"/>
    </sheetView>
  </sheetViews>
  <sheetFormatPr defaultColWidth="9.140625" defaultRowHeight="15.75"/>
  <cols>
    <col min="1" max="1" width="31.7109375" style="299" bestFit="1" customWidth="1"/>
    <col min="2" max="2" width="58.7109375" style="315" customWidth="1"/>
    <col min="3" max="3" width="17.42578125" style="231" customWidth="1"/>
    <col min="4" max="4" width="14.85546875" style="231" customWidth="1"/>
    <col min="5" max="5" width="9.28515625" style="228" bestFit="1" customWidth="1"/>
    <col min="6" max="16384" width="9.140625" style="228"/>
  </cols>
  <sheetData>
    <row r="1" spans="1:5">
      <c r="A1" s="330" t="s">
        <v>843</v>
      </c>
      <c r="B1" s="330"/>
      <c r="C1" s="330"/>
      <c r="D1" s="330"/>
    </row>
    <row r="2" spans="1:5">
      <c r="A2" s="331" t="s">
        <v>494</v>
      </c>
      <c r="B2" s="331"/>
      <c r="C2" s="331"/>
      <c r="D2" s="331"/>
    </row>
    <row r="3" spans="1:5">
      <c r="B3" s="331" t="s">
        <v>877</v>
      </c>
      <c r="C3" s="331"/>
      <c r="D3" s="331"/>
    </row>
    <row r="4" spans="1:5">
      <c r="A4" s="229"/>
      <c r="B4" s="230"/>
    </row>
    <row r="5" spans="1:5">
      <c r="A5" s="332" t="s">
        <v>495</v>
      </c>
      <c r="B5" s="332"/>
      <c r="C5" s="332"/>
      <c r="D5" s="332"/>
    </row>
    <row r="6" spans="1:5">
      <c r="A6" s="232"/>
      <c r="B6" s="232"/>
      <c r="C6" s="232"/>
      <c r="D6" s="232"/>
    </row>
    <row r="7" spans="1:5" ht="47.25">
      <c r="A7" s="233" t="s">
        <v>496</v>
      </c>
      <c r="B7" s="234" t="s">
        <v>497</v>
      </c>
      <c r="C7" s="234" t="s">
        <v>473</v>
      </c>
      <c r="D7" s="234" t="s">
        <v>475</v>
      </c>
    </row>
    <row r="8" spans="1:5">
      <c r="A8" s="235" t="s">
        <v>498</v>
      </c>
      <c r="B8" s="236" t="s">
        <v>499</v>
      </c>
      <c r="C8" s="237">
        <f>C9+C20+C27+C35+C38+C52+C62+C69+C58+C14</f>
        <v>355156.1</v>
      </c>
      <c r="D8" s="237">
        <f>D9+D20+D27+D35+D38+D52+D62+D69+D58+D14</f>
        <v>371653.19999999995</v>
      </c>
      <c r="E8" s="238"/>
    </row>
    <row r="9" spans="1:5">
      <c r="A9" s="235" t="s">
        <v>500</v>
      </c>
      <c r="B9" s="236" t="s">
        <v>501</v>
      </c>
      <c r="C9" s="237">
        <f t="shared" ref="C9:D9" si="0">C10</f>
        <v>195505.6</v>
      </c>
      <c r="D9" s="237">
        <f t="shared" si="0"/>
        <v>209886.1</v>
      </c>
    </row>
    <row r="10" spans="1:5">
      <c r="A10" s="235" t="s">
        <v>502</v>
      </c>
      <c r="B10" s="236" t="s">
        <v>503</v>
      </c>
      <c r="C10" s="237">
        <f t="shared" ref="C10:D10" si="1">C11+C12+C13</f>
        <v>195505.6</v>
      </c>
      <c r="D10" s="237">
        <f t="shared" si="1"/>
        <v>209886.1</v>
      </c>
    </row>
    <row r="11" spans="1:5" ht="78.75">
      <c r="A11" s="239" t="s">
        <v>504</v>
      </c>
      <c r="B11" s="240" t="s">
        <v>505</v>
      </c>
      <c r="C11" s="241">
        <v>192269.2</v>
      </c>
      <c r="D11" s="241">
        <v>206403</v>
      </c>
    </row>
    <row r="12" spans="1:5" ht="129.75" customHeight="1">
      <c r="A12" s="239" t="s">
        <v>506</v>
      </c>
      <c r="B12" s="240" t="s">
        <v>507</v>
      </c>
      <c r="C12" s="241">
        <v>1010.6</v>
      </c>
      <c r="D12" s="241">
        <v>1162.5</v>
      </c>
    </row>
    <row r="13" spans="1:5" ht="47.25">
      <c r="A13" s="239" t="s">
        <v>508</v>
      </c>
      <c r="B13" s="240" t="s">
        <v>509</v>
      </c>
      <c r="C13" s="241">
        <v>2225.8000000000002</v>
      </c>
      <c r="D13" s="241">
        <v>2320.6</v>
      </c>
    </row>
    <row r="14" spans="1:5" ht="47.25">
      <c r="A14" s="235" t="s">
        <v>510</v>
      </c>
      <c r="B14" s="236" t="s">
        <v>511</v>
      </c>
      <c r="C14" s="237">
        <f t="shared" ref="C14:D14" si="2">C15</f>
        <v>2487.3000000000002</v>
      </c>
      <c r="D14" s="237">
        <f t="shared" si="2"/>
        <v>2518.2000000000003</v>
      </c>
    </row>
    <row r="15" spans="1:5" ht="31.5">
      <c r="A15" s="235" t="s">
        <v>512</v>
      </c>
      <c r="B15" s="236" t="s">
        <v>513</v>
      </c>
      <c r="C15" s="237">
        <f>C16+C17+C18+C19</f>
        <v>2487.3000000000002</v>
      </c>
      <c r="D15" s="237">
        <f>D16+D17+D18+D19</f>
        <v>2518.2000000000003</v>
      </c>
    </row>
    <row r="16" spans="1:5" ht="80.25" customHeight="1">
      <c r="A16" s="239" t="s">
        <v>514</v>
      </c>
      <c r="B16" s="240" t="s">
        <v>515</v>
      </c>
      <c r="C16" s="241">
        <v>1083</v>
      </c>
      <c r="D16" s="241">
        <v>1122</v>
      </c>
    </row>
    <row r="17" spans="1:4" ht="97.5" customHeight="1">
      <c r="A17" s="239" t="s">
        <v>516</v>
      </c>
      <c r="B17" s="240" t="s">
        <v>517</v>
      </c>
      <c r="C17" s="241">
        <v>9.8000000000000007</v>
      </c>
      <c r="D17" s="241">
        <v>10.9</v>
      </c>
    </row>
    <row r="18" spans="1:4" ht="84" customHeight="1">
      <c r="A18" s="239" t="s">
        <v>518</v>
      </c>
      <c r="B18" s="240" t="s">
        <v>519</v>
      </c>
      <c r="C18" s="241">
        <v>1634.5</v>
      </c>
      <c r="D18" s="241">
        <v>1636.7</v>
      </c>
    </row>
    <row r="19" spans="1:4" ht="99" customHeight="1">
      <c r="A19" s="239" t="s">
        <v>520</v>
      </c>
      <c r="B19" s="240" t="s">
        <v>521</v>
      </c>
      <c r="C19" s="241">
        <v>-240</v>
      </c>
      <c r="D19" s="241">
        <v>-251.4</v>
      </c>
    </row>
    <row r="20" spans="1:4">
      <c r="A20" s="235" t="s">
        <v>522</v>
      </c>
      <c r="B20" s="242" t="s">
        <v>523</v>
      </c>
      <c r="C20" s="237">
        <f t="shared" ref="C20" si="3">C21+C25</f>
        <v>35468</v>
      </c>
      <c r="D20" s="237">
        <f>D21+D25+D23</f>
        <v>34717.299999999996</v>
      </c>
    </row>
    <row r="21" spans="1:4" ht="31.5">
      <c r="A21" s="235" t="s">
        <v>524</v>
      </c>
      <c r="B21" s="236" t="s">
        <v>525</v>
      </c>
      <c r="C21" s="237">
        <f t="shared" ref="C21:D21" si="4">C22</f>
        <v>28172</v>
      </c>
      <c r="D21" s="237">
        <f t="shared" si="4"/>
        <v>28623.200000000001</v>
      </c>
    </row>
    <row r="22" spans="1:4" ht="31.5">
      <c r="A22" s="239" t="s">
        <v>526</v>
      </c>
      <c r="B22" s="240" t="s">
        <v>525</v>
      </c>
      <c r="C22" s="241">
        <v>28172</v>
      </c>
      <c r="D22" s="241">
        <v>28623.200000000001</v>
      </c>
    </row>
    <row r="23" spans="1:4">
      <c r="A23" s="300" t="s">
        <v>527</v>
      </c>
      <c r="B23" s="243" t="s">
        <v>528</v>
      </c>
      <c r="C23" s="244">
        <f>C24</f>
        <v>0</v>
      </c>
      <c r="D23" s="244">
        <f>D24</f>
        <v>-0.3</v>
      </c>
    </row>
    <row r="24" spans="1:4">
      <c r="A24" s="301" t="s">
        <v>529</v>
      </c>
      <c r="B24" s="245" t="s">
        <v>528</v>
      </c>
      <c r="C24" s="246">
        <v>0</v>
      </c>
      <c r="D24" s="246">
        <v>-0.3</v>
      </c>
    </row>
    <row r="25" spans="1:4" ht="31.5">
      <c r="A25" s="235" t="s">
        <v>530</v>
      </c>
      <c r="B25" s="236" t="s">
        <v>531</v>
      </c>
      <c r="C25" s="237">
        <f t="shared" ref="C25:D25" si="5">C26</f>
        <v>7296</v>
      </c>
      <c r="D25" s="237">
        <f t="shared" si="5"/>
        <v>6094.4</v>
      </c>
    </row>
    <row r="26" spans="1:4" ht="47.25">
      <c r="A26" s="239" t="s">
        <v>532</v>
      </c>
      <c r="B26" s="240" t="s">
        <v>533</v>
      </c>
      <c r="C26" s="241">
        <v>7296</v>
      </c>
      <c r="D26" s="241">
        <v>6094.4</v>
      </c>
    </row>
    <row r="27" spans="1:4">
      <c r="A27" s="235" t="s">
        <v>534</v>
      </c>
      <c r="B27" s="236" t="s">
        <v>535</v>
      </c>
      <c r="C27" s="237">
        <f t="shared" ref="C27:D27" si="6">C28+C30</f>
        <v>65440.4</v>
      </c>
      <c r="D27" s="237">
        <f t="shared" si="6"/>
        <v>63528.3</v>
      </c>
    </row>
    <row r="28" spans="1:4">
      <c r="A28" s="235" t="s">
        <v>536</v>
      </c>
      <c r="B28" s="236" t="s">
        <v>537</v>
      </c>
      <c r="C28" s="237">
        <f t="shared" ref="C28:D28" si="7">C29</f>
        <v>14581</v>
      </c>
      <c r="D28" s="237">
        <f t="shared" si="7"/>
        <v>14750.3</v>
      </c>
    </row>
    <row r="29" spans="1:4" ht="47.25">
      <c r="A29" s="239" t="s">
        <v>538</v>
      </c>
      <c r="B29" s="240" t="s">
        <v>539</v>
      </c>
      <c r="C29" s="247">
        <v>14581</v>
      </c>
      <c r="D29" s="247">
        <v>14750.3</v>
      </c>
    </row>
    <row r="30" spans="1:4">
      <c r="A30" s="235" t="s">
        <v>540</v>
      </c>
      <c r="B30" s="236" t="s">
        <v>541</v>
      </c>
      <c r="C30" s="237">
        <f t="shared" ref="C30:D30" si="8">C31+C33</f>
        <v>50859.4</v>
      </c>
      <c r="D30" s="237">
        <f t="shared" si="8"/>
        <v>48778</v>
      </c>
    </row>
    <row r="31" spans="1:4">
      <c r="A31" s="239" t="s">
        <v>542</v>
      </c>
      <c r="B31" s="240" t="s">
        <v>543</v>
      </c>
      <c r="C31" s="241">
        <f t="shared" ref="C31:D31" si="9">C32</f>
        <v>41457</v>
      </c>
      <c r="D31" s="241">
        <f t="shared" si="9"/>
        <v>39070.9</v>
      </c>
    </row>
    <row r="32" spans="1:4" ht="31.5">
      <c r="A32" s="239" t="s">
        <v>544</v>
      </c>
      <c r="B32" s="240" t="s">
        <v>545</v>
      </c>
      <c r="C32" s="247">
        <v>41457</v>
      </c>
      <c r="D32" s="247">
        <v>39070.9</v>
      </c>
    </row>
    <row r="33" spans="1:4">
      <c r="A33" s="239" t="s">
        <v>546</v>
      </c>
      <c r="B33" s="240" t="s">
        <v>547</v>
      </c>
      <c r="C33" s="241">
        <f t="shared" ref="C33:D33" si="10">C34</f>
        <v>9402.4</v>
      </c>
      <c r="D33" s="241">
        <f t="shared" si="10"/>
        <v>9707.1</v>
      </c>
    </row>
    <row r="34" spans="1:4" ht="34.5" customHeight="1">
      <c r="A34" s="239" t="s">
        <v>548</v>
      </c>
      <c r="B34" s="240" t="s">
        <v>549</v>
      </c>
      <c r="C34" s="247">
        <v>9402.4</v>
      </c>
      <c r="D34" s="247">
        <v>9707.1</v>
      </c>
    </row>
    <row r="35" spans="1:4">
      <c r="A35" s="235" t="s">
        <v>550</v>
      </c>
      <c r="B35" s="236" t="s">
        <v>551</v>
      </c>
      <c r="C35" s="237">
        <f>C36</f>
        <v>4888.7</v>
      </c>
      <c r="D35" s="237">
        <f>D36</f>
        <v>5420.5</v>
      </c>
    </row>
    <row r="36" spans="1:4" ht="33.75" customHeight="1">
      <c r="A36" s="235" t="s">
        <v>552</v>
      </c>
      <c r="B36" s="236" t="s">
        <v>553</v>
      </c>
      <c r="C36" s="237">
        <f t="shared" ref="C36:D36" si="11">C37</f>
        <v>4888.7</v>
      </c>
      <c r="D36" s="237">
        <f t="shared" si="11"/>
        <v>5420.5</v>
      </c>
    </row>
    <row r="37" spans="1:4" ht="47.25">
      <c r="A37" s="239" t="s">
        <v>554</v>
      </c>
      <c r="B37" s="240" t="s">
        <v>555</v>
      </c>
      <c r="C37" s="247">
        <f>4738.7+150</f>
        <v>4888.7</v>
      </c>
      <c r="D37" s="247">
        <v>5420.5</v>
      </c>
    </row>
    <row r="38" spans="1:4" ht="47.25">
      <c r="A38" s="235" t="s">
        <v>556</v>
      </c>
      <c r="B38" s="236" t="s">
        <v>557</v>
      </c>
      <c r="C38" s="237">
        <f t="shared" ref="C38:D38" si="12">C39+C46+C49</f>
        <v>33021</v>
      </c>
      <c r="D38" s="237">
        <f t="shared" si="12"/>
        <v>34015.399999999994</v>
      </c>
    </row>
    <row r="39" spans="1:4" ht="97.5" customHeight="1">
      <c r="A39" s="235" t="s">
        <v>558</v>
      </c>
      <c r="B39" s="236" t="s">
        <v>559</v>
      </c>
      <c r="C39" s="237">
        <f t="shared" ref="C39:D39" si="13">C40+C42+C44</f>
        <v>31882.9</v>
      </c>
      <c r="D39" s="237">
        <f t="shared" si="13"/>
        <v>32901.199999999997</v>
      </c>
    </row>
    <row r="40" spans="1:4" ht="82.5" customHeight="1">
      <c r="A40" s="239" t="s">
        <v>560</v>
      </c>
      <c r="B40" s="240" t="s">
        <v>561</v>
      </c>
      <c r="C40" s="241">
        <f t="shared" ref="C40:D40" si="14">C41</f>
        <v>14870.699999999999</v>
      </c>
      <c r="D40" s="241">
        <f t="shared" si="14"/>
        <v>16217.9</v>
      </c>
    </row>
    <row r="41" spans="1:4" ht="81.75" customHeight="1">
      <c r="A41" s="239" t="s">
        <v>562</v>
      </c>
      <c r="B41" s="240" t="s">
        <v>563</v>
      </c>
      <c r="C41" s="241">
        <f>14527.4+343.3</f>
        <v>14870.699999999999</v>
      </c>
      <c r="D41" s="241">
        <v>16217.9</v>
      </c>
    </row>
    <row r="42" spans="1:4" ht="84" customHeight="1">
      <c r="A42" s="239" t="s">
        <v>564</v>
      </c>
      <c r="B42" s="240" t="s">
        <v>565</v>
      </c>
      <c r="C42" s="247">
        <f t="shared" ref="C42:D42" si="15">C43</f>
        <v>2022.4</v>
      </c>
      <c r="D42" s="247">
        <f t="shared" si="15"/>
        <v>1512.2</v>
      </c>
    </row>
    <row r="43" spans="1:4" ht="78.75">
      <c r="A43" s="239" t="s">
        <v>566</v>
      </c>
      <c r="B43" s="240" t="s">
        <v>567</v>
      </c>
      <c r="C43" s="247">
        <v>2022.4</v>
      </c>
      <c r="D43" s="247">
        <v>1512.2</v>
      </c>
    </row>
    <row r="44" spans="1:4" ht="47.25">
      <c r="A44" s="239" t="s">
        <v>568</v>
      </c>
      <c r="B44" s="240" t="s">
        <v>569</v>
      </c>
      <c r="C44" s="241">
        <f>C45</f>
        <v>14989.800000000001</v>
      </c>
      <c r="D44" s="241">
        <f t="shared" ref="D44" si="16">D45</f>
        <v>15171.1</v>
      </c>
    </row>
    <row r="45" spans="1:4" ht="36.75" customHeight="1">
      <c r="A45" s="239" t="s">
        <v>570</v>
      </c>
      <c r="B45" s="240" t="s">
        <v>571</v>
      </c>
      <c r="C45" s="241">
        <f>14910.6+79.2</f>
        <v>14989.800000000001</v>
      </c>
      <c r="D45" s="241">
        <v>15171.1</v>
      </c>
    </row>
    <row r="46" spans="1:4" ht="31.5">
      <c r="A46" s="235" t="s">
        <v>572</v>
      </c>
      <c r="B46" s="236" t="s">
        <v>573</v>
      </c>
      <c r="C46" s="237">
        <f t="shared" ref="C46:D47" si="17">C47</f>
        <v>110.4</v>
      </c>
      <c r="D46" s="237">
        <f t="shared" si="17"/>
        <v>86.5</v>
      </c>
    </row>
    <row r="47" spans="1:4" ht="50.25" customHeight="1">
      <c r="A47" s="239" t="s">
        <v>574</v>
      </c>
      <c r="B47" s="240" t="s">
        <v>575</v>
      </c>
      <c r="C47" s="241">
        <f t="shared" si="17"/>
        <v>110.4</v>
      </c>
      <c r="D47" s="241">
        <f t="shared" si="17"/>
        <v>86.5</v>
      </c>
    </row>
    <row r="48" spans="1:4" ht="63">
      <c r="A48" s="239" t="s">
        <v>576</v>
      </c>
      <c r="B48" s="240" t="s">
        <v>577</v>
      </c>
      <c r="C48" s="241">
        <f>86.5+23.9</f>
        <v>110.4</v>
      </c>
      <c r="D48" s="241">
        <v>86.5</v>
      </c>
    </row>
    <row r="49" spans="1:4" ht="94.5">
      <c r="A49" s="235" t="s">
        <v>578</v>
      </c>
      <c r="B49" s="236" t="s">
        <v>579</v>
      </c>
      <c r="C49" s="237">
        <f t="shared" ref="C49:D50" si="18">C50</f>
        <v>1027.7</v>
      </c>
      <c r="D49" s="237">
        <f t="shared" si="18"/>
        <v>1027.7</v>
      </c>
    </row>
    <row r="50" spans="1:4" ht="94.5">
      <c r="A50" s="239" t="s">
        <v>580</v>
      </c>
      <c r="B50" s="240" t="s">
        <v>581</v>
      </c>
      <c r="C50" s="241">
        <f t="shared" si="18"/>
        <v>1027.7</v>
      </c>
      <c r="D50" s="241">
        <f t="shared" si="18"/>
        <v>1027.7</v>
      </c>
    </row>
    <row r="51" spans="1:4" ht="94.5">
      <c r="A51" s="239" t="s">
        <v>582</v>
      </c>
      <c r="B51" s="240" t="s">
        <v>583</v>
      </c>
      <c r="C51" s="241">
        <v>1027.7</v>
      </c>
      <c r="D51" s="241">
        <v>1027.7</v>
      </c>
    </row>
    <row r="52" spans="1:4" ht="31.5">
      <c r="A52" s="235" t="s">
        <v>584</v>
      </c>
      <c r="B52" s="236" t="s">
        <v>585</v>
      </c>
      <c r="C52" s="237">
        <f t="shared" ref="C52:D52" si="19">C53</f>
        <v>349.7</v>
      </c>
      <c r="D52" s="237">
        <f t="shared" si="19"/>
        <v>300.10000000000002</v>
      </c>
    </row>
    <row r="53" spans="1:4" ht="21" customHeight="1">
      <c r="A53" s="235" t="s">
        <v>586</v>
      </c>
      <c r="B53" s="236" t="s">
        <v>587</v>
      </c>
      <c r="C53" s="237">
        <f>SUM(C54:C56)</f>
        <v>349.7</v>
      </c>
      <c r="D53" s="237">
        <f>SUM(D54:D56)</f>
        <v>300.10000000000002</v>
      </c>
    </row>
    <row r="54" spans="1:4" ht="31.5">
      <c r="A54" s="302" t="s">
        <v>588</v>
      </c>
      <c r="B54" s="240" t="s">
        <v>589</v>
      </c>
      <c r="C54" s="241">
        <v>148.6</v>
      </c>
      <c r="D54" s="241">
        <v>110.4</v>
      </c>
    </row>
    <row r="55" spans="1:4" ht="21" customHeight="1">
      <c r="A55" s="302" t="s">
        <v>590</v>
      </c>
      <c r="B55" s="240" t="s">
        <v>591</v>
      </c>
      <c r="C55" s="241">
        <v>159.30000000000001</v>
      </c>
      <c r="D55" s="241">
        <v>157.4</v>
      </c>
    </row>
    <row r="56" spans="1:4" ht="21" customHeight="1">
      <c r="A56" s="302" t="s">
        <v>592</v>
      </c>
      <c r="B56" s="240" t="s">
        <v>593</v>
      </c>
      <c r="C56" s="241">
        <f>C57</f>
        <v>41.8</v>
      </c>
      <c r="D56" s="241">
        <f t="shared" ref="D56" si="20">D57</f>
        <v>32.299999999999997</v>
      </c>
    </row>
    <row r="57" spans="1:4" ht="17.25" customHeight="1">
      <c r="A57" s="302" t="s">
        <v>594</v>
      </c>
      <c r="B57" s="240" t="s">
        <v>595</v>
      </c>
      <c r="C57" s="241">
        <v>41.8</v>
      </c>
      <c r="D57" s="241">
        <v>32.299999999999997</v>
      </c>
    </row>
    <row r="58" spans="1:4" ht="34.5" customHeight="1">
      <c r="A58" s="235" t="s">
        <v>596</v>
      </c>
      <c r="B58" s="236" t="s">
        <v>597</v>
      </c>
      <c r="C58" s="237">
        <f t="shared" ref="C58:D60" si="21">C59</f>
        <v>1916.3</v>
      </c>
      <c r="D58" s="237">
        <f t="shared" si="21"/>
        <v>1988.2</v>
      </c>
    </row>
    <row r="59" spans="1:4">
      <c r="A59" s="303" t="s">
        <v>598</v>
      </c>
      <c r="B59" s="236" t="s">
        <v>599</v>
      </c>
      <c r="C59" s="237">
        <f t="shared" si="21"/>
        <v>1916.3</v>
      </c>
      <c r="D59" s="237">
        <f t="shared" si="21"/>
        <v>1988.2</v>
      </c>
    </row>
    <row r="60" spans="1:4">
      <c r="A60" s="302" t="s">
        <v>600</v>
      </c>
      <c r="B60" s="240" t="s">
        <v>601</v>
      </c>
      <c r="C60" s="241">
        <f t="shared" si="21"/>
        <v>1916.3</v>
      </c>
      <c r="D60" s="241">
        <f t="shared" si="21"/>
        <v>1988.2</v>
      </c>
    </row>
    <row r="61" spans="1:4" ht="31.5">
      <c r="A61" s="302" t="s">
        <v>602</v>
      </c>
      <c r="B61" s="240" t="s">
        <v>603</v>
      </c>
      <c r="C61" s="241">
        <v>1916.3</v>
      </c>
      <c r="D61" s="241">
        <v>1988.2</v>
      </c>
    </row>
    <row r="62" spans="1:4" ht="31.5">
      <c r="A62" s="235" t="s">
        <v>604</v>
      </c>
      <c r="B62" s="236" t="s">
        <v>605</v>
      </c>
      <c r="C62" s="237">
        <f t="shared" ref="C62:D62" si="22">C63+C66</f>
        <v>7450.8</v>
      </c>
      <c r="D62" s="237">
        <f t="shared" si="22"/>
        <v>7893.5</v>
      </c>
    </row>
    <row r="63" spans="1:4" ht="98.25" customHeight="1">
      <c r="A63" s="235" t="s">
        <v>606</v>
      </c>
      <c r="B63" s="236" t="s">
        <v>607</v>
      </c>
      <c r="C63" s="237">
        <f t="shared" ref="C63:D64" si="23">C64</f>
        <v>4783.5</v>
      </c>
      <c r="D63" s="237">
        <f t="shared" si="23"/>
        <v>5278.2</v>
      </c>
    </row>
    <row r="64" spans="1:4" ht="115.5" customHeight="1">
      <c r="A64" s="239" t="s">
        <v>608</v>
      </c>
      <c r="B64" s="240" t="s">
        <v>609</v>
      </c>
      <c r="C64" s="241">
        <f t="shared" si="23"/>
        <v>4783.5</v>
      </c>
      <c r="D64" s="241">
        <f t="shared" si="23"/>
        <v>5278.2</v>
      </c>
    </row>
    <row r="65" spans="1:4" ht="97.5" customHeight="1">
      <c r="A65" s="239" t="s">
        <v>610</v>
      </c>
      <c r="B65" s="240" t="s">
        <v>611</v>
      </c>
      <c r="C65" s="241">
        <v>4783.5</v>
      </c>
      <c r="D65" s="241">
        <v>5278.2</v>
      </c>
    </row>
    <row r="66" spans="1:4" ht="37.5" customHeight="1">
      <c r="A66" s="235" t="s">
        <v>612</v>
      </c>
      <c r="B66" s="236" t="s">
        <v>613</v>
      </c>
      <c r="C66" s="237">
        <f>C67</f>
        <v>2667.3</v>
      </c>
      <c r="D66" s="237">
        <f>D67</f>
        <v>2615.3000000000002</v>
      </c>
    </row>
    <row r="67" spans="1:4" ht="34.5" customHeight="1">
      <c r="A67" s="239" t="s">
        <v>614</v>
      </c>
      <c r="B67" s="240" t="s">
        <v>615</v>
      </c>
      <c r="C67" s="241">
        <f t="shared" ref="C67:D67" si="24">C68</f>
        <v>2667.3</v>
      </c>
      <c r="D67" s="241">
        <f t="shared" si="24"/>
        <v>2615.3000000000002</v>
      </c>
    </row>
    <row r="68" spans="1:4" ht="51.75" customHeight="1">
      <c r="A68" s="239" t="s">
        <v>616</v>
      </c>
      <c r="B68" s="240" t="s">
        <v>617</v>
      </c>
      <c r="C68" s="241">
        <v>2667.3</v>
      </c>
      <c r="D68" s="241">
        <v>2615.3000000000002</v>
      </c>
    </row>
    <row r="69" spans="1:4">
      <c r="A69" s="235" t="s">
        <v>618</v>
      </c>
      <c r="B69" s="236" t="s">
        <v>619</v>
      </c>
      <c r="C69" s="237">
        <f>C70+C76+C79+C84+C87+C89+C73+C74+C80+C86+C82</f>
        <v>8628.3000000000011</v>
      </c>
      <c r="D69" s="237">
        <f>D70+D76+D79+D84+D87+D89+D73+D74+D80+D86+D82</f>
        <v>11385.6</v>
      </c>
    </row>
    <row r="70" spans="1:4" ht="31.5">
      <c r="A70" s="235" t="s">
        <v>620</v>
      </c>
      <c r="B70" s="236" t="s">
        <v>621</v>
      </c>
      <c r="C70" s="237">
        <f t="shared" ref="C70:D70" si="25">C71+C72</f>
        <v>153.5</v>
      </c>
      <c r="D70" s="237">
        <f t="shared" si="25"/>
        <v>157.4</v>
      </c>
    </row>
    <row r="71" spans="1:4" ht="84.75" customHeight="1">
      <c r="A71" s="239" t="s">
        <v>622</v>
      </c>
      <c r="B71" s="240" t="s">
        <v>623</v>
      </c>
      <c r="C71" s="241">
        <v>139.1</v>
      </c>
      <c r="D71" s="241">
        <v>142</v>
      </c>
    </row>
    <row r="72" spans="1:4" ht="63">
      <c r="A72" s="239" t="s">
        <v>624</v>
      </c>
      <c r="B72" s="240" t="s">
        <v>625</v>
      </c>
      <c r="C72" s="241">
        <v>14.4</v>
      </c>
      <c r="D72" s="241">
        <v>15.4</v>
      </c>
    </row>
    <row r="73" spans="1:4" ht="65.25" customHeight="1">
      <c r="A73" s="303" t="s">
        <v>626</v>
      </c>
      <c r="B73" s="236" t="s">
        <v>627</v>
      </c>
      <c r="C73" s="237">
        <v>60</v>
      </c>
      <c r="D73" s="237">
        <v>60</v>
      </c>
    </row>
    <row r="74" spans="1:4" ht="66.75" customHeight="1">
      <c r="A74" s="303" t="s">
        <v>628</v>
      </c>
      <c r="B74" s="236" t="s">
        <v>629</v>
      </c>
      <c r="C74" s="237">
        <f t="shared" ref="C74:D74" si="26">C75</f>
        <v>63.1</v>
      </c>
      <c r="D74" s="237">
        <f t="shared" si="26"/>
        <v>73.099999999999994</v>
      </c>
    </row>
    <row r="75" spans="1:4" ht="63">
      <c r="A75" s="302" t="s">
        <v>630</v>
      </c>
      <c r="B75" s="240" t="s">
        <v>631</v>
      </c>
      <c r="C75" s="241">
        <v>63.1</v>
      </c>
      <c r="D75" s="241">
        <v>73.099999999999994</v>
      </c>
    </row>
    <row r="76" spans="1:4" ht="126">
      <c r="A76" s="235" t="s">
        <v>632</v>
      </c>
      <c r="B76" s="236" t="s">
        <v>633</v>
      </c>
      <c r="C76" s="237">
        <f t="shared" ref="C76:D76" si="27">C78+C77</f>
        <v>193</v>
      </c>
      <c r="D76" s="237">
        <f t="shared" si="27"/>
        <v>248</v>
      </c>
    </row>
    <row r="77" spans="1:4" ht="31.5">
      <c r="A77" s="239" t="s">
        <v>634</v>
      </c>
      <c r="B77" s="240" t="s">
        <v>635</v>
      </c>
      <c r="C77" s="241">
        <v>112</v>
      </c>
      <c r="D77" s="241">
        <v>122</v>
      </c>
    </row>
    <row r="78" spans="1:4" ht="31.5">
      <c r="A78" s="239" t="s">
        <v>636</v>
      </c>
      <c r="B78" s="240" t="s">
        <v>637</v>
      </c>
      <c r="C78" s="241">
        <v>81</v>
      </c>
      <c r="D78" s="241">
        <v>126</v>
      </c>
    </row>
    <row r="79" spans="1:4" ht="63">
      <c r="A79" s="235" t="s">
        <v>638</v>
      </c>
      <c r="B79" s="236" t="s">
        <v>639</v>
      </c>
      <c r="C79" s="237">
        <v>1213.3</v>
      </c>
      <c r="D79" s="237">
        <v>1791.4</v>
      </c>
    </row>
    <row r="80" spans="1:4" ht="31.5">
      <c r="A80" s="235" t="s">
        <v>640</v>
      </c>
      <c r="B80" s="236" t="s">
        <v>641</v>
      </c>
      <c r="C80" s="237">
        <f t="shared" ref="C80:D80" si="28">C81</f>
        <v>27.5</v>
      </c>
      <c r="D80" s="237">
        <f t="shared" si="28"/>
        <v>32.5</v>
      </c>
    </row>
    <row r="81" spans="1:4" ht="31.5">
      <c r="A81" s="248" t="s">
        <v>642</v>
      </c>
      <c r="B81" s="240" t="s">
        <v>643</v>
      </c>
      <c r="C81" s="241">
        <v>27.5</v>
      </c>
      <c r="D81" s="241">
        <v>32.5</v>
      </c>
    </row>
    <row r="82" spans="1:4" ht="69" customHeight="1">
      <c r="A82" s="233" t="s">
        <v>644</v>
      </c>
      <c r="B82" s="236" t="s">
        <v>645</v>
      </c>
      <c r="C82" s="237">
        <f>C83</f>
        <v>108.1</v>
      </c>
      <c r="D82" s="237">
        <f>D83</f>
        <v>108.1</v>
      </c>
    </row>
    <row r="83" spans="1:4" ht="81.75" customHeight="1">
      <c r="A83" s="248" t="s">
        <v>646</v>
      </c>
      <c r="B83" s="295" t="s">
        <v>778</v>
      </c>
      <c r="C83" s="241">
        <f>108.1</f>
        <v>108.1</v>
      </c>
      <c r="D83" s="241">
        <v>108.1</v>
      </c>
    </row>
    <row r="84" spans="1:4" ht="68.25" customHeight="1">
      <c r="A84" s="235" t="s">
        <v>647</v>
      </c>
      <c r="B84" s="236" t="s">
        <v>648</v>
      </c>
      <c r="C84" s="237">
        <f t="shared" ref="C84:D84" si="29">C85</f>
        <v>723.2</v>
      </c>
      <c r="D84" s="237">
        <f t="shared" si="29"/>
        <v>723.2</v>
      </c>
    </row>
    <row r="85" spans="1:4" ht="80.25" customHeight="1">
      <c r="A85" s="304" t="s">
        <v>649</v>
      </c>
      <c r="B85" s="240" t="s">
        <v>650</v>
      </c>
      <c r="C85" s="241">
        <v>723.2</v>
      </c>
      <c r="D85" s="241">
        <v>723.2</v>
      </c>
    </row>
    <row r="86" spans="1:4" ht="80.25" customHeight="1">
      <c r="A86" s="305" t="s">
        <v>651</v>
      </c>
      <c r="B86" s="236" t="s">
        <v>652</v>
      </c>
      <c r="C86" s="237">
        <v>53.4</v>
      </c>
      <c r="D86" s="237">
        <v>54.4</v>
      </c>
    </row>
    <row r="87" spans="1:4" ht="47.25">
      <c r="A87" s="303" t="s">
        <v>653</v>
      </c>
      <c r="B87" s="236" t="s">
        <v>654</v>
      </c>
      <c r="C87" s="237">
        <f t="shared" ref="C87:D87" si="30">C88</f>
        <v>40.4</v>
      </c>
      <c r="D87" s="237">
        <f t="shared" si="30"/>
        <v>48.3</v>
      </c>
    </row>
    <row r="88" spans="1:4" ht="63">
      <c r="A88" s="302" t="s">
        <v>655</v>
      </c>
      <c r="B88" s="240" t="s">
        <v>656</v>
      </c>
      <c r="C88" s="241">
        <v>40.4</v>
      </c>
      <c r="D88" s="241">
        <v>48.3</v>
      </c>
    </row>
    <row r="89" spans="1:4" ht="31.5">
      <c r="A89" s="235" t="s">
        <v>657</v>
      </c>
      <c r="B89" s="236" t="s">
        <v>658</v>
      </c>
      <c r="C89" s="237">
        <f t="shared" ref="C89:D89" si="31">C90</f>
        <v>5992.8</v>
      </c>
      <c r="D89" s="237">
        <f t="shared" si="31"/>
        <v>8089.2</v>
      </c>
    </row>
    <row r="90" spans="1:4" ht="47.25">
      <c r="A90" s="239" t="s">
        <v>659</v>
      </c>
      <c r="B90" s="240" t="s">
        <v>660</v>
      </c>
      <c r="C90" s="241">
        <v>5992.8</v>
      </c>
      <c r="D90" s="241">
        <v>8089.2</v>
      </c>
    </row>
    <row r="91" spans="1:4">
      <c r="A91" s="235" t="s">
        <v>661</v>
      </c>
      <c r="B91" s="236" t="s">
        <v>662</v>
      </c>
      <c r="C91" s="237">
        <f>C92+C134+C137</f>
        <v>517689.33999999997</v>
      </c>
      <c r="D91" s="237">
        <f>D92+D134+D137+D140</f>
        <v>500875.29999999993</v>
      </c>
    </row>
    <row r="92" spans="1:4" ht="47.25">
      <c r="A92" s="249" t="s">
        <v>663</v>
      </c>
      <c r="B92" s="250" t="s">
        <v>664</v>
      </c>
      <c r="C92" s="237">
        <f>C114+C96+C131+C93</f>
        <v>517277.43999999994</v>
      </c>
      <c r="D92" s="237">
        <f>D114+D96+D131+D93</f>
        <v>501825.79999999993</v>
      </c>
    </row>
    <row r="93" spans="1:4" ht="31.5">
      <c r="A93" s="251" t="s">
        <v>665</v>
      </c>
      <c r="B93" s="296" t="s">
        <v>868</v>
      </c>
      <c r="C93" s="237">
        <f t="shared" ref="C93:D94" si="32">C94</f>
        <v>50000</v>
      </c>
      <c r="D93" s="237">
        <f t="shared" si="32"/>
        <v>50000</v>
      </c>
    </row>
    <row r="94" spans="1:4" ht="134.25" customHeight="1">
      <c r="A94" s="252" t="s">
        <v>666</v>
      </c>
      <c r="B94" s="297" t="s">
        <v>867</v>
      </c>
      <c r="C94" s="241">
        <f t="shared" si="32"/>
        <v>50000</v>
      </c>
      <c r="D94" s="241">
        <f t="shared" si="32"/>
        <v>50000</v>
      </c>
    </row>
    <row r="95" spans="1:4" ht="115.5" customHeight="1">
      <c r="A95" s="252" t="s">
        <v>667</v>
      </c>
      <c r="B95" s="253" t="s">
        <v>668</v>
      </c>
      <c r="C95" s="241">
        <v>50000</v>
      </c>
      <c r="D95" s="241">
        <v>50000</v>
      </c>
    </row>
    <row r="96" spans="1:4" ht="31.5">
      <c r="A96" s="254" t="s">
        <v>669</v>
      </c>
      <c r="B96" s="255" t="s">
        <v>670</v>
      </c>
      <c r="C96" s="237">
        <f>C97</f>
        <v>161274.24000000002</v>
      </c>
      <c r="D96" s="237">
        <f>D97</f>
        <v>145822.6</v>
      </c>
    </row>
    <row r="97" spans="1:4">
      <c r="A97" s="256" t="s">
        <v>671</v>
      </c>
      <c r="B97" s="257" t="s">
        <v>672</v>
      </c>
      <c r="C97" s="241">
        <f>SUM(C98:C113)</f>
        <v>161274.24000000002</v>
      </c>
      <c r="D97" s="241">
        <f>SUM(D98:D113)</f>
        <v>145822.6</v>
      </c>
    </row>
    <row r="98" spans="1:4" ht="31.5">
      <c r="A98" s="256" t="s">
        <v>673</v>
      </c>
      <c r="B98" s="257" t="s">
        <v>674</v>
      </c>
      <c r="C98" s="241">
        <v>3209.2</v>
      </c>
      <c r="D98" s="241">
        <v>3209.2</v>
      </c>
    </row>
    <row r="99" spans="1:4" ht="47.25">
      <c r="A99" s="256" t="s">
        <v>673</v>
      </c>
      <c r="B99" s="257" t="s">
        <v>675</v>
      </c>
      <c r="C99" s="241">
        <v>4163</v>
      </c>
      <c r="D99" s="241">
        <v>4163</v>
      </c>
    </row>
    <row r="100" spans="1:4" ht="78.75">
      <c r="A100" s="256" t="s">
        <v>673</v>
      </c>
      <c r="B100" s="257" t="s">
        <v>676</v>
      </c>
      <c r="C100" s="241">
        <v>97.2</v>
      </c>
      <c r="D100" s="241">
        <v>97.2</v>
      </c>
    </row>
    <row r="101" spans="1:4" ht="47.25">
      <c r="A101" s="256" t="s">
        <v>673</v>
      </c>
      <c r="B101" s="257" t="s">
        <v>677</v>
      </c>
      <c r="C101" s="241">
        <v>7399.8</v>
      </c>
      <c r="D101" s="241">
        <v>7399.8</v>
      </c>
    </row>
    <row r="102" spans="1:4" ht="31.5">
      <c r="A102" s="256" t="s">
        <v>673</v>
      </c>
      <c r="B102" s="257" t="s">
        <v>678</v>
      </c>
      <c r="C102" s="241">
        <f>3232+4174.5+1516.2</f>
        <v>8922.7000000000007</v>
      </c>
      <c r="D102" s="241">
        <v>8922.7000000000007</v>
      </c>
    </row>
    <row r="103" spans="1:4" ht="31.5">
      <c r="A103" s="258" t="s">
        <v>673</v>
      </c>
      <c r="B103" s="259" t="s">
        <v>679</v>
      </c>
      <c r="C103" s="241">
        <f>8548.4-2367.3</f>
        <v>6181.0999999999995</v>
      </c>
      <c r="D103" s="241">
        <v>6098.7</v>
      </c>
    </row>
    <row r="104" spans="1:4" ht="47.25">
      <c r="A104" s="13" t="s">
        <v>680</v>
      </c>
      <c r="B104" s="306" t="s">
        <v>681</v>
      </c>
      <c r="C104" s="260">
        <f>10515.6+9058.2</f>
        <v>19573.800000000003</v>
      </c>
      <c r="D104" s="241">
        <v>19573.8</v>
      </c>
    </row>
    <row r="105" spans="1:4" ht="31.5">
      <c r="A105" s="13" t="s">
        <v>682</v>
      </c>
      <c r="B105" s="307" t="s">
        <v>683</v>
      </c>
      <c r="C105" s="260">
        <v>455.63</v>
      </c>
      <c r="D105" s="241">
        <v>455.6</v>
      </c>
    </row>
    <row r="106" spans="1:4" ht="47.25">
      <c r="A106" s="13" t="s">
        <v>684</v>
      </c>
      <c r="B106" s="306" t="s">
        <v>685</v>
      </c>
      <c r="C106" s="260">
        <v>1162</v>
      </c>
      <c r="D106" s="241">
        <v>998.1</v>
      </c>
    </row>
    <row r="107" spans="1:4" ht="63">
      <c r="A107" s="13" t="s">
        <v>686</v>
      </c>
      <c r="B107" s="306" t="s">
        <v>687</v>
      </c>
      <c r="C107" s="260">
        <v>403</v>
      </c>
      <c r="D107" s="241">
        <v>403</v>
      </c>
    </row>
    <row r="108" spans="1:4" ht="47.25">
      <c r="A108" s="308" t="s">
        <v>688</v>
      </c>
      <c r="B108" s="306" t="s">
        <v>689</v>
      </c>
      <c r="C108" s="260">
        <v>4423.51</v>
      </c>
      <c r="D108" s="241">
        <v>4400.2</v>
      </c>
    </row>
    <row r="109" spans="1:4" ht="47.25">
      <c r="A109" s="13" t="s">
        <v>690</v>
      </c>
      <c r="B109" s="307" t="s">
        <v>691</v>
      </c>
      <c r="C109" s="241">
        <v>77453.7</v>
      </c>
      <c r="D109" s="241">
        <v>63453.7</v>
      </c>
    </row>
    <row r="110" spans="1:4" ht="31.5">
      <c r="A110" s="13" t="s">
        <v>692</v>
      </c>
      <c r="B110" s="307" t="s">
        <v>693</v>
      </c>
      <c r="C110" s="241">
        <v>7666.3</v>
      </c>
      <c r="D110" s="241">
        <v>7250.5</v>
      </c>
    </row>
    <row r="111" spans="1:4" ht="63">
      <c r="A111" s="261" t="s">
        <v>694</v>
      </c>
      <c r="B111" s="257" t="s">
        <v>695</v>
      </c>
      <c r="C111" s="241">
        <v>15073</v>
      </c>
      <c r="D111" s="241">
        <v>14731.9</v>
      </c>
    </row>
    <row r="112" spans="1:4" ht="31.5">
      <c r="A112" s="261" t="s">
        <v>696</v>
      </c>
      <c r="B112" s="257" t="s">
        <v>697</v>
      </c>
      <c r="C112" s="241">
        <v>4898.6000000000004</v>
      </c>
      <c r="D112" s="241">
        <v>4495.5</v>
      </c>
    </row>
    <row r="113" spans="1:4" ht="33.75" customHeight="1">
      <c r="A113" s="261" t="s">
        <v>698</v>
      </c>
      <c r="B113" s="298" t="s">
        <v>699</v>
      </c>
      <c r="C113" s="241">
        <v>191.7</v>
      </c>
      <c r="D113" s="241">
        <v>169.7</v>
      </c>
    </row>
    <row r="114" spans="1:4" ht="31.5">
      <c r="A114" s="249" t="s">
        <v>700</v>
      </c>
      <c r="B114" s="250" t="s">
        <v>701</v>
      </c>
      <c r="C114" s="237">
        <f>C121+C117+C123+C115+C119</f>
        <v>305003.09999999998</v>
      </c>
      <c r="D114" s="237">
        <f>D121+D117+D123+D115+D119</f>
        <v>305003.09999999998</v>
      </c>
    </row>
    <row r="115" spans="1:4" ht="81.75" customHeight="1">
      <c r="A115" s="239" t="s">
        <v>702</v>
      </c>
      <c r="B115" s="253" t="s">
        <v>703</v>
      </c>
      <c r="C115" s="241">
        <v>10448.6</v>
      </c>
      <c r="D115" s="241">
        <v>10448.6</v>
      </c>
    </row>
    <row r="116" spans="1:4" ht="99.75" customHeight="1">
      <c r="A116" s="252" t="s">
        <v>704</v>
      </c>
      <c r="B116" s="253" t="s">
        <v>705</v>
      </c>
      <c r="C116" s="241">
        <v>10448.6</v>
      </c>
      <c r="D116" s="241">
        <v>10448.6</v>
      </c>
    </row>
    <row r="117" spans="1:4" ht="64.5" customHeight="1">
      <c r="A117" s="239" t="s">
        <v>706</v>
      </c>
      <c r="B117" s="253" t="s">
        <v>707</v>
      </c>
      <c r="C117" s="241">
        <f t="shared" ref="C117:D117" si="33">C118</f>
        <v>3000.7</v>
      </c>
      <c r="D117" s="241">
        <f t="shared" si="33"/>
        <v>3000.7</v>
      </c>
    </row>
    <row r="118" spans="1:4" ht="67.5" customHeight="1">
      <c r="A118" s="239" t="s">
        <v>708</v>
      </c>
      <c r="B118" s="253" t="s">
        <v>709</v>
      </c>
      <c r="C118" s="241">
        <f>11002.5-8001.8</f>
        <v>3000.7</v>
      </c>
      <c r="D118" s="241">
        <v>3000.7</v>
      </c>
    </row>
    <row r="119" spans="1:4" ht="63">
      <c r="A119" s="239" t="s">
        <v>710</v>
      </c>
      <c r="B119" s="253" t="s">
        <v>711</v>
      </c>
      <c r="C119" s="241">
        <f t="shared" ref="C119:D119" si="34">C120</f>
        <v>145</v>
      </c>
      <c r="D119" s="241">
        <f t="shared" si="34"/>
        <v>145</v>
      </c>
    </row>
    <row r="120" spans="1:4" ht="67.5" customHeight="1">
      <c r="A120" s="239" t="s">
        <v>712</v>
      </c>
      <c r="B120" s="253" t="s">
        <v>713</v>
      </c>
      <c r="C120" s="241">
        <v>145</v>
      </c>
      <c r="D120" s="241">
        <v>145</v>
      </c>
    </row>
    <row r="121" spans="1:4" ht="31.5">
      <c r="A121" s="239" t="s">
        <v>714</v>
      </c>
      <c r="B121" s="253" t="s">
        <v>715</v>
      </c>
      <c r="C121" s="241">
        <f t="shared" ref="C121:D121" si="35">C122</f>
        <v>1760</v>
      </c>
      <c r="D121" s="241">
        <f t="shared" si="35"/>
        <v>1760</v>
      </c>
    </row>
    <row r="122" spans="1:4" ht="47.25">
      <c r="A122" s="239" t="s">
        <v>716</v>
      </c>
      <c r="B122" s="253" t="s">
        <v>717</v>
      </c>
      <c r="C122" s="241">
        <v>1760</v>
      </c>
      <c r="D122" s="241">
        <v>1760</v>
      </c>
    </row>
    <row r="123" spans="1:4">
      <c r="A123" s="239" t="s">
        <v>718</v>
      </c>
      <c r="B123" s="253" t="s">
        <v>719</v>
      </c>
      <c r="C123" s="241">
        <f>SUM(C124:C130)</f>
        <v>289648.8</v>
      </c>
      <c r="D123" s="241">
        <f>SUM(D124:D130)</f>
        <v>289648.8</v>
      </c>
    </row>
    <row r="124" spans="1:4" ht="114.75" customHeight="1">
      <c r="A124" s="239" t="s">
        <v>720</v>
      </c>
      <c r="B124" s="253" t="s">
        <v>721</v>
      </c>
      <c r="C124" s="241">
        <v>183189.1</v>
      </c>
      <c r="D124" s="241">
        <v>183189.1</v>
      </c>
    </row>
    <row r="125" spans="1:4" ht="63">
      <c r="A125" s="239" t="s">
        <v>720</v>
      </c>
      <c r="B125" s="253" t="s">
        <v>722</v>
      </c>
      <c r="C125" s="241">
        <v>97137.3</v>
      </c>
      <c r="D125" s="241">
        <v>97137.3</v>
      </c>
    </row>
    <row r="126" spans="1:4" ht="63">
      <c r="A126" s="239" t="s">
        <v>720</v>
      </c>
      <c r="B126" s="253" t="s">
        <v>723</v>
      </c>
      <c r="C126" s="241">
        <v>650</v>
      </c>
      <c r="D126" s="241">
        <v>650</v>
      </c>
    </row>
    <row r="127" spans="1:4" ht="81.75" customHeight="1">
      <c r="A127" s="239" t="s">
        <v>720</v>
      </c>
      <c r="B127" s="253" t="s">
        <v>724</v>
      </c>
      <c r="C127" s="241">
        <v>264</v>
      </c>
      <c r="D127" s="241">
        <v>264</v>
      </c>
    </row>
    <row r="128" spans="1:4" ht="78.75">
      <c r="A128" s="239" t="s">
        <v>720</v>
      </c>
      <c r="B128" s="253" t="s">
        <v>725</v>
      </c>
      <c r="C128" s="241">
        <v>8001.8</v>
      </c>
      <c r="D128" s="241">
        <v>8001.8</v>
      </c>
    </row>
    <row r="129" spans="1:4" ht="116.25" customHeight="1">
      <c r="A129" s="239" t="s">
        <v>720</v>
      </c>
      <c r="B129" s="253" t="s">
        <v>726</v>
      </c>
      <c r="C129" s="241">
        <v>404</v>
      </c>
      <c r="D129" s="241">
        <v>404</v>
      </c>
    </row>
    <row r="130" spans="1:4" ht="129" customHeight="1">
      <c r="A130" s="239" t="s">
        <v>720</v>
      </c>
      <c r="B130" s="253" t="s">
        <v>727</v>
      </c>
      <c r="C130" s="241">
        <v>2.6</v>
      </c>
      <c r="D130" s="241">
        <v>2.6</v>
      </c>
    </row>
    <row r="131" spans="1:4">
      <c r="A131" s="254" t="s">
        <v>728</v>
      </c>
      <c r="B131" s="255" t="s">
        <v>729</v>
      </c>
      <c r="C131" s="263">
        <f t="shared" ref="C131:D132" si="36">C132</f>
        <v>1000.1</v>
      </c>
      <c r="D131" s="263">
        <f t="shared" si="36"/>
        <v>1000.1</v>
      </c>
    </row>
    <row r="132" spans="1:4" ht="31.5">
      <c r="A132" s="256" t="s">
        <v>730</v>
      </c>
      <c r="B132" s="257" t="s">
        <v>731</v>
      </c>
      <c r="C132" s="264">
        <f t="shared" si="36"/>
        <v>1000.1</v>
      </c>
      <c r="D132" s="264">
        <f t="shared" si="36"/>
        <v>1000.1</v>
      </c>
    </row>
    <row r="133" spans="1:4" ht="63">
      <c r="A133" s="256" t="s">
        <v>732</v>
      </c>
      <c r="B133" s="257" t="s">
        <v>733</v>
      </c>
      <c r="C133" s="264">
        <v>1000.1</v>
      </c>
      <c r="D133" s="264">
        <v>1000.1</v>
      </c>
    </row>
    <row r="134" spans="1:4" s="265" customFormat="1" ht="31.5">
      <c r="A134" s="235" t="s">
        <v>734</v>
      </c>
      <c r="B134" s="250" t="s">
        <v>735</v>
      </c>
      <c r="C134" s="237">
        <f t="shared" ref="C134:D135" si="37">C135</f>
        <v>27</v>
      </c>
      <c r="D134" s="237">
        <f t="shared" si="37"/>
        <v>27</v>
      </c>
    </row>
    <row r="135" spans="1:4" ht="31.5">
      <c r="A135" s="256" t="s">
        <v>736</v>
      </c>
      <c r="B135" s="257" t="s">
        <v>737</v>
      </c>
      <c r="C135" s="241">
        <f t="shared" si="37"/>
        <v>27</v>
      </c>
      <c r="D135" s="241">
        <f t="shared" si="37"/>
        <v>27</v>
      </c>
    </row>
    <row r="136" spans="1:4" ht="33.75" customHeight="1">
      <c r="A136" s="239" t="s">
        <v>738</v>
      </c>
      <c r="B136" s="253" t="s">
        <v>739</v>
      </c>
      <c r="C136" s="241">
        <v>27</v>
      </c>
      <c r="D136" s="241">
        <v>27</v>
      </c>
    </row>
    <row r="137" spans="1:4">
      <c r="A137" s="309" t="s">
        <v>740</v>
      </c>
      <c r="B137" s="310" t="s">
        <v>741</v>
      </c>
      <c r="C137" s="311">
        <f t="shared" ref="C137:D138" si="38">C138</f>
        <v>384.9</v>
      </c>
      <c r="D137" s="311">
        <f t="shared" si="38"/>
        <v>384.9</v>
      </c>
    </row>
    <row r="138" spans="1:4" ht="31.5">
      <c r="A138" s="312" t="s">
        <v>742</v>
      </c>
      <c r="B138" s="313" t="s">
        <v>743</v>
      </c>
      <c r="C138" s="269">
        <f t="shared" si="38"/>
        <v>384.9</v>
      </c>
      <c r="D138" s="269">
        <f t="shared" si="38"/>
        <v>384.9</v>
      </c>
    </row>
    <row r="139" spans="1:4" ht="31.5">
      <c r="A139" s="312" t="s">
        <v>744</v>
      </c>
      <c r="B139" s="313" t="s">
        <v>743</v>
      </c>
      <c r="C139" s="269">
        <v>384.9</v>
      </c>
      <c r="D139" s="269">
        <v>384.9</v>
      </c>
    </row>
    <row r="140" spans="1:4" ht="66">
      <c r="A140" s="266" t="s">
        <v>745</v>
      </c>
      <c r="B140" s="267" t="s">
        <v>746</v>
      </c>
      <c r="C140" s="311">
        <f>C141</f>
        <v>0</v>
      </c>
      <c r="D140" s="311">
        <f>D141</f>
        <v>-1362.4</v>
      </c>
    </row>
    <row r="141" spans="1:4" ht="66">
      <c r="A141" s="314" t="s">
        <v>747</v>
      </c>
      <c r="B141" s="268" t="s">
        <v>849</v>
      </c>
      <c r="C141" s="269">
        <v>0</v>
      </c>
      <c r="D141" s="269">
        <v>-1362.4</v>
      </c>
    </row>
    <row r="142" spans="1:4">
      <c r="A142" s="235"/>
      <c r="B142" s="242" t="s">
        <v>749</v>
      </c>
      <c r="C142" s="237">
        <f>C8+C91</f>
        <v>872845.44</v>
      </c>
      <c r="D142" s="237">
        <f>D8+D91</f>
        <v>872528.49999999988</v>
      </c>
    </row>
    <row r="143" spans="1:4">
      <c r="C143" s="270"/>
    </row>
    <row r="144" spans="1:4">
      <c r="C144" s="270"/>
    </row>
    <row r="145" spans="1:7">
      <c r="C145" s="270"/>
    </row>
    <row r="147" spans="1:7" s="231" customFormat="1">
      <c r="A147" s="299"/>
      <c r="B147" s="315"/>
      <c r="C147" s="270"/>
      <c r="E147" s="228"/>
      <c r="F147" s="228"/>
      <c r="G147" s="228"/>
    </row>
    <row r="149" spans="1:7" s="231" customFormat="1">
      <c r="A149" s="299"/>
      <c r="B149" s="315"/>
      <c r="C149" s="270"/>
      <c r="E149" s="228"/>
      <c r="F149" s="228"/>
      <c r="G149" s="228"/>
    </row>
  </sheetData>
  <mergeCells count="4">
    <mergeCell ref="A1:D1"/>
    <mergeCell ref="A2:D2"/>
    <mergeCell ref="B3:D3"/>
    <mergeCell ref="A5:D5"/>
  </mergeCells>
  <pageMargins left="0.78740157480314965" right="0.19685039370078741" top="0.19685039370078741" bottom="0.19685039370078741" header="0.31496062992125984" footer="0.31496062992125984"/>
  <pageSetup paperSize="9" scale="76" fitToHeight="1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136"/>
  <sheetViews>
    <sheetView topLeftCell="A100" zoomScale="80" zoomScaleNormal="80" workbookViewId="0">
      <selection activeCell="A109" sqref="A109"/>
    </sheetView>
  </sheetViews>
  <sheetFormatPr defaultColWidth="9.140625" defaultRowHeight="15.75"/>
  <cols>
    <col min="1" max="1" width="10.28515625" style="294" customWidth="1"/>
    <col min="2" max="2" width="61.140625" style="272" customWidth="1"/>
    <col min="3" max="3" width="28.85546875" style="272" customWidth="1"/>
    <col min="4" max="4" width="14.7109375" style="291" customWidth="1"/>
    <col min="5" max="5" width="15.7109375" style="272" bestFit="1" customWidth="1"/>
    <col min="6" max="6" width="20.7109375" style="272" customWidth="1"/>
    <col min="7" max="16384" width="9.140625" style="272"/>
  </cols>
  <sheetData>
    <row r="1" spans="1:7">
      <c r="A1" s="271"/>
      <c r="B1" s="337" t="s">
        <v>874</v>
      </c>
      <c r="C1" s="337"/>
      <c r="D1" s="337"/>
    </row>
    <row r="2" spans="1:7">
      <c r="A2" s="271"/>
      <c r="B2" s="337" t="s">
        <v>494</v>
      </c>
      <c r="C2" s="337"/>
      <c r="D2" s="337"/>
    </row>
    <row r="3" spans="1:7">
      <c r="A3" s="271"/>
      <c r="B3" s="337" t="s">
        <v>876</v>
      </c>
      <c r="C3" s="337"/>
      <c r="D3" s="337"/>
    </row>
    <row r="5" spans="1:7" ht="31.5" customHeight="1">
      <c r="A5" s="338" t="s">
        <v>850</v>
      </c>
      <c r="B5" s="338"/>
      <c r="C5" s="338"/>
      <c r="D5" s="338"/>
    </row>
    <row r="7" spans="1:7">
      <c r="A7" s="339" t="s">
        <v>750</v>
      </c>
      <c r="B7" s="339" t="s">
        <v>751</v>
      </c>
      <c r="C7" s="339" t="s">
        <v>752</v>
      </c>
      <c r="D7" s="340" t="s">
        <v>753</v>
      </c>
    </row>
    <row r="8" spans="1:7">
      <c r="A8" s="339"/>
      <c r="B8" s="339"/>
      <c r="C8" s="339"/>
      <c r="D8" s="340"/>
    </row>
    <row r="9" spans="1:7" s="274" customFormat="1">
      <c r="A9" s="273" t="s">
        <v>754</v>
      </c>
      <c r="B9" s="334" t="s">
        <v>89</v>
      </c>
      <c r="C9" s="334"/>
      <c r="D9" s="334"/>
    </row>
    <row r="10" spans="1:7" s="274" customFormat="1" ht="31.5">
      <c r="A10" s="275"/>
      <c r="B10" s="276" t="s">
        <v>755</v>
      </c>
      <c r="C10" s="277" t="s">
        <v>756</v>
      </c>
      <c r="D10" s="278">
        <v>34</v>
      </c>
    </row>
    <row r="11" spans="1:7" s="274" customFormat="1" ht="78.75">
      <c r="A11" s="275"/>
      <c r="B11" s="276" t="s">
        <v>650</v>
      </c>
      <c r="C11" s="277" t="s">
        <v>757</v>
      </c>
      <c r="D11" s="278">
        <v>723.2</v>
      </c>
    </row>
    <row r="12" spans="1:7" ht="63">
      <c r="A12" s="279"/>
      <c r="B12" s="276" t="s">
        <v>656</v>
      </c>
      <c r="C12" s="277" t="s">
        <v>758</v>
      </c>
      <c r="D12" s="278">
        <v>48.3</v>
      </c>
      <c r="G12" s="280"/>
    </row>
    <row r="13" spans="1:7" ht="47.25">
      <c r="A13" s="279"/>
      <c r="B13" s="276" t="s">
        <v>660</v>
      </c>
      <c r="C13" s="277" t="s">
        <v>759</v>
      </c>
      <c r="D13" s="278">
        <v>4620.8999999999996</v>
      </c>
    </row>
    <row r="14" spans="1:7" ht="47.25">
      <c r="A14" s="279"/>
      <c r="B14" s="276" t="s">
        <v>760</v>
      </c>
      <c r="C14" s="277" t="s">
        <v>761</v>
      </c>
      <c r="D14" s="278">
        <v>27</v>
      </c>
    </row>
    <row r="15" spans="1:7" ht="47.25">
      <c r="A15" s="279"/>
      <c r="B15" s="276" t="s">
        <v>762</v>
      </c>
      <c r="C15" s="277" t="s">
        <v>763</v>
      </c>
      <c r="D15" s="278">
        <v>384.9</v>
      </c>
    </row>
    <row r="16" spans="1:7" ht="49.5" customHeight="1">
      <c r="A16" s="279"/>
      <c r="B16" s="276" t="s">
        <v>748</v>
      </c>
      <c r="C16" s="277" t="s">
        <v>764</v>
      </c>
      <c r="D16" s="278">
        <v>-129.30000000000001</v>
      </c>
    </row>
    <row r="17" spans="1:4" s="274" customFormat="1">
      <c r="A17" s="273" t="s">
        <v>765</v>
      </c>
      <c r="B17" s="336" t="s">
        <v>294</v>
      </c>
      <c r="C17" s="336"/>
      <c r="D17" s="336"/>
    </row>
    <row r="18" spans="1:4" s="274" customFormat="1" ht="31.5">
      <c r="A18" s="273"/>
      <c r="B18" s="276" t="s">
        <v>755</v>
      </c>
      <c r="C18" s="277" t="s">
        <v>851</v>
      </c>
      <c r="D18" s="316">
        <v>1.9</v>
      </c>
    </row>
    <row r="19" spans="1:4" s="274" customFormat="1" ht="115.5" customHeight="1">
      <c r="A19" s="273"/>
      <c r="B19" s="253" t="s">
        <v>668</v>
      </c>
      <c r="C19" s="252" t="s">
        <v>852</v>
      </c>
      <c r="D19" s="317">
        <v>50000</v>
      </c>
    </row>
    <row r="20" spans="1:4" s="274" customFormat="1" ht="32.25" customHeight="1">
      <c r="A20" s="273"/>
      <c r="B20" s="257" t="s">
        <v>697</v>
      </c>
      <c r="C20" s="261" t="s">
        <v>853</v>
      </c>
      <c r="D20" s="317">
        <v>4495.5</v>
      </c>
    </row>
    <row r="21" spans="1:4" s="274" customFormat="1" ht="94.5">
      <c r="A21" s="279"/>
      <c r="B21" s="276" t="s">
        <v>766</v>
      </c>
      <c r="C21" s="277" t="s">
        <v>854</v>
      </c>
      <c r="D21" s="278">
        <v>63453.7</v>
      </c>
    </row>
    <row r="22" spans="1:4" s="274" customFormat="1" ht="31.5">
      <c r="A22" s="279"/>
      <c r="B22" s="307" t="s">
        <v>693</v>
      </c>
      <c r="C22" s="13" t="s">
        <v>855</v>
      </c>
      <c r="D22" s="278">
        <v>7250.5</v>
      </c>
    </row>
    <row r="23" spans="1:4" s="274" customFormat="1" ht="63">
      <c r="A23" s="279"/>
      <c r="B23" s="257" t="s">
        <v>695</v>
      </c>
      <c r="C23" s="261" t="s">
        <v>856</v>
      </c>
      <c r="D23" s="278">
        <v>14731.9</v>
      </c>
    </row>
    <row r="24" spans="1:4" s="274" customFormat="1" ht="48.75" customHeight="1">
      <c r="A24" s="279"/>
      <c r="B24" s="276" t="s">
        <v>679</v>
      </c>
      <c r="C24" s="277" t="s">
        <v>857</v>
      </c>
      <c r="D24" s="278">
        <v>6098.7</v>
      </c>
    </row>
    <row r="25" spans="1:4" s="274" customFormat="1" ht="31.5">
      <c r="A25" s="279"/>
      <c r="B25" s="257" t="s">
        <v>674</v>
      </c>
      <c r="C25" s="277" t="s">
        <v>857</v>
      </c>
      <c r="D25" s="278">
        <v>3209.2</v>
      </c>
    </row>
    <row r="26" spans="1:4" s="274" customFormat="1" ht="47.25">
      <c r="A26" s="279"/>
      <c r="B26" s="257" t="s">
        <v>675</v>
      </c>
      <c r="C26" s="277" t="s">
        <v>857</v>
      </c>
      <c r="D26" s="278">
        <v>4163</v>
      </c>
    </row>
    <row r="27" spans="1:4" s="274" customFormat="1" ht="78.75">
      <c r="A27" s="279"/>
      <c r="B27" s="257" t="s">
        <v>676</v>
      </c>
      <c r="C27" s="277" t="s">
        <v>857</v>
      </c>
      <c r="D27" s="278">
        <v>97.2</v>
      </c>
    </row>
    <row r="28" spans="1:4" s="274" customFormat="1" ht="47.25">
      <c r="A28" s="279"/>
      <c r="B28" s="276" t="s">
        <v>677</v>
      </c>
      <c r="C28" s="277" t="s">
        <v>857</v>
      </c>
      <c r="D28" s="278">
        <v>7399.8</v>
      </c>
    </row>
    <row r="29" spans="1:4" s="274" customFormat="1" ht="31.5">
      <c r="A29" s="279"/>
      <c r="B29" s="276" t="s">
        <v>678</v>
      </c>
      <c r="C29" s="277" t="s">
        <v>857</v>
      </c>
      <c r="D29" s="278">
        <v>8922.7000000000007</v>
      </c>
    </row>
    <row r="30" spans="1:4" s="274" customFormat="1" ht="47.25">
      <c r="A30" s="279"/>
      <c r="B30" s="306" t="s">
        <v>681</v>
      </c>
      <c r="C30" s="277" t="s">
        <v>857</v>
      </c>
      <c r="D30" s="278">
        <v>19573.8</v>
      </c>
    </row>
    <row r="31" spans="1:4" s="274" customFormat="1" ht="47.25">
      <c r="A31" s="279"/>
      <c r="B31" s="276" t="s">
        <v>685</v>
      </c>
      <c r="C31" s="277" t="s">
        <v>857</v>
      </c>
      <c r="D31" s="278">
        <v>998.1</v>
      </c>
    </row>
    <row r="32" spans="1:4" s="274" customFormat="1" ht="31.5">
      <c r="A32" s="279"/>
      <c r="B32" s="276" t="s">
        <v>683</v>
      </c>
      <c r="C32" s="277" t="s">
        <v>857</v>
      </c>
      <c r="D32" s="278">
        <v>455.6</v>
      </c>
    </row>
    <row r="33" spans="1:4" s="274" customFormat="1" ht="63">
      <c r="A33" s="279"/>
      <c r="B33" s="306" t="s">
        <v>687</v>
      </c>
      <c r="C33" s="277" t="s">
        <v>857</v>
      </c>
      <c r="D33" s="278">
        <v>403</v>
      </c>
    </row>
    <row r="34" spans="1:4" s="274" customFormat="1" ht="47.25">
      <c r="A34" s="279"/>
      <c r="B34" s="306" t="s">
        <v>689</v>
      </c>
      <c r="C34" s="277" t="s">
        <v>857</v>
      </c>
      <c r="D34" s="278">
        <v>4400.2</v>
      </c>
    </row>
    <row r="35" spans="1:4" s="274" customFormat="1" ht="31.5" customHeight="1">
      <c r="A35" s="279"/>
      <c r="B35" s="262" t="s">
        <v>699</v>
      </c>
      <c r="C35" s="277" t="s">
        <v>857</v>
      </c>
      <c r="D35" s="278">
        <v>169.7</v>
      </c>
    </row>
    <row r="36" spans="1:4" s="274" customFormat="1" ht="94.5">
      <c r="A36" s="279"/>
      <c r="B36" s="253" t="s">
        <v>705</v>
      </c>
      <c r="C36" s="277" t="s">
        <v>858</v>
      </c>
      <c r="D36" s="278">
        <v>10448.6</v>
      </c>
    </row>
    <row r="37" spans="1:4" s="274" customFormat="1" ht="66.75" customHeight="1">
      <c r="A37" s="279"/>
      <c r="B37" s="253" t="s">
        <v>709</v>
      </c>
      <c r="C37" s="239" t="s">
        <v>859</v>
      </c>
      <c r="D37" s="278">
        <v>3000.7</v>
      </c>
    </row>
    <row r="38" spans="1:4" s="274" customFormat="1" ht="78.75">
      <c r="A38" s="279"/>
      <c r="B38" s="253" t="s">
        <v>725</v>
      </c>
      <c r="C38" s="239" t="s">
        <v>860</v>
      </c>
      <c r="D38" s="278">
        <v>8001.8</v>
      </c>
    </row>
    <row r="39" spans="1:4" s="274" customFormat="1" ht="63">
      <c r="A39" s="279"/>
      <c r="B39" s="253" t="s">
        <v>713</v>
      </c>
      <c r="C39" s="239" t="s">
        <v>861</v>
      </c>
      <c r="D39" s="278">
        <v>145</v>
      </c>
    </row>
    <row r="40" spans="1:4" s="274" customFormat="1" ht="47.25">
      <c r="A40" s="279"/>
      <c r="B40" s="276" t="s">
        <v>717</v>
      </c>
      <c r="C40" s="277" t="s">
        <v>862</v>
      </c>
      <c r="D40" s="278">
        <v>1760</v>
      </c>
    </row>
    <row r="41" spans="1:4" s="274" customFormat="1" ht="110.25">
      <c r="A41" s="279"/>
      <c r="B41" s="253" t="s">
        <v>721</v>
      </c>
      <c r="C41" s="239" t="s">
        <v>860</v>
      </c>
      <c r="D41" s="278">
        <v>183189.1</v>
      </c>
    </row>
    <row r="42" spans="1:4" s="274" customFormat="1" ht="63">
      <c r="A42" s="279"/>
      <c r="B42" s="253" t="s">
        <v>722</v>
      </c>
      <c r="C42" s="239" t="s">
        <v>860</v>
      </c>
      <c r="D42" s="278">
        <v>97137.3</v>
      </c>
    </row>
    <row r="43" spans="1:4" s="274" customFormat="1" ht="63">
      <c r="A43" s="279"/>
      <c r="B43" s="281" t="s">
        <v>767</v>
      </c>
      <c r="C43" s="277" t="s">
        <v>863</v>
      </c>
      <c r="D43" s="278">
        <v>650</v>
      </c>
    </row>
    <row r="44" spans="1:4" s="274" customFormat="1" ht="78.75">
      <c r="A44" s="279"/>
      <c r="B44" s="281" t="s">
        <v>724</v>
      </c>
      <c r="C44" s="277" t="s">
        <v>863</v>
      </c>
      <c r="D44" s="278">
        <v>264</v>
      </c>
    </row>
    <row r="45" spans="1:4" s="274" customFormat="1" ht="110.25">
      <c r="A45" s="279"/>
      <c r="B45" s="281" t="s">
        <v>726</v>
      </c>
      <c r="C45" s="277" t="s">
        <v>863</v>
      </c>
      <c r="D45" s="278">
        <v>404</v>
      </c>
    </row>
    <row r="46" spans="1:4" s="274" customFormat="1" ht="126">
      <c r="A46" s="279"/>
      <c r="B46" s="281" t="s">
        <v>768</v>
      </c>
      <c r="C46" s="277" t="s">
        <v>863</v>
      </c>
      <c r="D46" s="278">
        <v>2.6</v>
      </c>
    </row>
    <row r="47" spans="1:4" s="274" customFormat="1" ht="63">
      <c r="A47" s="279"/>
      <c r="B47" s="276" t="s">
        <v>733</v>
      </c>
      <c r="C47" s="277" t="s">
        <v>864</v>
      </c>
      <c r="D47" s="278">
        <v>1000.1</v>
      </c>
    </row>
    <row r="48" spans="1:4" s="274" customFormat="1">
      <c r="A48" s="273" t="s">
        <v>769</v>
      </c>
      <c r="B48" s="336" t="s">
        <v>4</v>
      </c>
      <c r="C48" s="336"/>
      <c r="D48" s="336"/>
    </row>
    <row r="49" spans="1:5" s="274" customFormat="1" ht="81" customHeight="1">
      <c r="A49" s="275"/>
      <c r="B49" s="276" t="s">
        <v>563</v>
      </c>
      <c r="C49" s="282" t="s">
        <v>770</v>
      </c>
      <c r="D49" s="278">
        <v>16217.9</v>
      </c>
    </row>
    <row r="50" spans="1:5" s="274" customFormat="1" ht="78.75">
      <c r="A50" s="275"/>
      <c r="B50" s="276" t="s">
        <v>567</v>
      </c>
      <c r="C50" s="277" t="s">
        <v>771</v>
      </c>
      <c r="D50" s="278">
        <v>1512.2</v>
      </c>
    </row>
    <row r="51" spans="1:5" s="274" customFormat="1" ht="31.5">
      <c r="A51" s="275"/>
      <c r="B51" s="276" t="s">
        <v>571</v>
      </c>
      <c r="C51" s="277" t="s">
        <v>772</v>
      </c>
      <c r="D51" s="278">
        <v>15171.1</v>
      </c>
    </row>
    <row r="52" spans="1:5" s="274" customFormat="1" ht="63">
      <c r="A52" s="275"/>
      <c r="B52" s="276" t="s">
        <v>577</v>
      </c>
      <c r="C52" s="277" t="s">
        <v>773</v>
      </c>
      <c r="D52" s="278">
        <v>86.5</v>
      </c>
    </row>
    <row r="53" spans="1:5" s="274" customFormat="1" ht="94.5">
      <c r="A53" s="275"/>
      <c r="B53" s="276" t="s">
        <v>583</v>
      </c>
      <c r="C53" s="277" t="s">
        <v>774</v>
      </c>
      <c r="D53" s="278">
        <v>1027.7</v>
      </c>
    </row>
    <row r="54" spans="1:5" s="274" customFormat="1" ht="31.5">
      <c r="A54" s="275"/>
      <c r="B54" s="276" t="s">
        <v>603</v>
      </c>
      <c r="C54" s="277" t="s">
        <v>775</v>
      </c>
      <c r="D54" s="278">
        <v>1916.4</v>
      </c>
    </row>
    <row r="55" spans="1:5" s="274" customFormat="1" ht="94.5">
      <c r="A55" s="275"/>
      <c r="B55" s="276" t="s">
        <v>611</v>
      </c>
      <c r="C55" s="277" t="s">
        <v>776</v>
      </c>
      <c r="D55" s="278">
        <v>5278.2</v>
      </c>
    </row>
    <row r="56" spans="1:5" s="274" customFormat="1" ht="47.25">
      <c r="A56" s="275"/>
      <c r="B56" s="283" t="s">
        <v>617</v>
      </c>
      <c r="C56" s="282" t="s">
        <v>777</v>
      </c>
      <c r="D56" s="278">
        <v>2615.3000000000002</v>
      </c>
      <c r="E56" s="284"/>
    </row>
    <row r="57" spans="1:5" s="274" customFormat="1" ht="78.75">
      <c r="A57" s="275"/>
      <c r="B57" s="276" t="s">
        <v>778</v>
      </c>
      <c r="C57" s="277" t="s">
        <v>779</v>
      </c>
      <c r="D57" s="278">
        <v>2.1</v>
      </c>
    </row>
    <row r="58" spans="1:5" s="274" customFormat="1" ht="47.25">
      <c r="A58" s="275"/>
      <c r="B58" s="276" t="s">
        <v>660</v>
      </c>
      <c r="C58" s="277" t="s">
        <v>780</v>
      </c>
      <c r="D58" s="278">
        <v>1305.9000000000001</v>
      </c>
    </row>
    <row r="59" spans="1:5" s="274" customFormat="1">
      <c r="A59" s="273" t="s">
        <v>781</v>
      </c>
      <c r="B59" s="336" t="s">
        <v>295</v>
      </c>
      <c r="C59" s="336"/>
      <c r="D59" s="336"/>
    </row>
    <row r="60" spans="1:5" s="274" customFormat="1" ht="31.5">
      <c r="A60" s="273"/>
      <c r="B60" s="276" t="s">
        <v>603</v>
      </c>
      <c r="C60" s="277" t="s">
        <v>873</v>
      </c>
      <c r="D60" s="316">
        <v>35.9</v>
      </c>
    </row>
    <row r="61" spans="1:5" ht="48.75" customHeight="1">
      <c r="A61" s="285"/>
      <c r="B61" s="276" t="s">
        <v>748</v>
      </c>
      <c r="C61" s="277" t="s">
        <v>782</v>
      </c>
      <c r="D61" s="278">
        <v>-1233.0999999999999</v>
      </c>
      <c r="E61" s="286"/>
    </row>
    <row r="62" spans="1:5">
      <c r="A62" s="287" t="s">
        <v>783</v>
      </c>
      <c r="B62" s="334" t="s">
        <v>784</v>
      </c>
      <c r="C62" s="334"/>
      <c r="D62" s="334"/>
      <c r="E62" s="286"/>
    </row>
    <row r="63" spans="1:5" ht="47.25">
      <c r="A63" s="285"/>
      <c r="B63" s="276" t="s">
        <v>660</v>
      </c>
      <c r="C63" s="277" t="s">
        <v>785</v>
      </c>
      <c r="D63" s="278">
        <v>148</v>
      </c>
      <c r="E63" s="286"/>
    </row>
    <row r="64" spans="1:5" s="274" customFormat="1" ht="18" customHeight="1">
      <c r="A64" s="287" t="s">
        <v>786</v>
      </c>
      <c r="B64" s="336" t="s">
        <v>787</v>
      </c>
      <c r="C64" s="336"/>
      <c r="D64" s="336"/>
    </row>
    <row r="65" spans="1:5" s="274" customFormat="1" ht="31.5">
      <c r="A65" s="285"/>
      <c r="B65" s="276" t="s">
        <v>589</v>
      </c>
      <c r="C65" s="277" t="s">
        <v>788</v>
      </c>
      <c r="D65" s="278">
        <v>110.4</v>
      </c>
    </row>
    <row r="66" spans="1:5" s="274" customFormat="1">
      <c r="A66" s="285"/>
      <c r="B66" s="276" t="s">
        <v>591</v>
      </c>
      <c r="C66" s="277" t="s">
        <v>789</v>
      </c>
      <c r="D66" s="278">
        <v>157.4</v>
      </c>
    </row>
    <row r="67" spans="1:5" s="274" customFormat="1">
      <c r="A67" s="285"/>
      <c r="B67" s="276" t="s">
        <v>790</v>
      </c>
      <c r="C67" s="277" t="s">
        <v>791</v>
      </c>
      <c r="D67" s="278">
        <v>32.299999999999997</v>
      </c>
    </row>
    <row r="68" spans="1:5" s="274" customFormat="1">
      <c r="A68" s="273" t="s">
        <v>792</v>
      </c>
      <c r="B68" s="335" t="s">
        <v>793</v>
      </c>
      <c r="C68" s="335"/>
      <c r="D68" s="335"/>
    </row>
    <row r="69" spans="1:5" s="274" customFormat="1" ht="47.25">
      <c r="A69" s="275"/>
      <c r="B69" s="276" t="s">
        <v>660</v>
      </c>
      <c r="C69" s="277" t="s">
        <v>794</v>
      </c>
      <c r="D69" s="278">
        <v>27</v>
      </c>
      <c r="E69" s="284"/>
    </row>
    <row r="70" spans="1:5" s="274" customFormat="1">
      <c r="A70" s="287" t="s">
        <v>795</v>
      </c>
      <c r="B70" s="336" t="s">
        <v>796</v>
      </c>
      <c r="C70" s="336"/>
      <c r="D70" s="336"/>
    </row>
    <row r="71" spans="1:5" ht="78.75">
      <c r="A71" s="282"/>
      <c r="B71" s="276" t="s">
        <v>515</v>
      </c>
      <c r="C71" s="277" t="s">
        <v>797</v>
      </c>
      <c r="D71" s="241">
        <v>1122</v>
      </c>
      <c r="E71" s="286"/>
    </row>
    <row r="72" spans="1:5" ht="94.5">
      <c r="A72" s="282"/>
      <c r="B72" s="276" t="s">
        <v>517</v>
      </c>
      <c r="C72" s="277" t="s">
        <v>798</v>
      </c>
      <c r="D72" s="241">
        <v>10.9</v>
      </c>
      <c r="E72" s="286"/>
    </row>
    <row r="73" spans="1:5" ht="78.75">
      <c r="A73" s="282"/>
      <c r="B73" s="276" t="s">
        <v>519</v>
      </c>
      <c r="C73" s="277" t="s">
        <v>799</v>
      </c>
      <c r="D73" s="241">
        <v>1636.7</v>
      </c>
      <c r="E73" s="286"/>
    </row>
    <row r="74" spans="1:5" s="274" customFormat="1" ht="78.75">
      <c r="A74" s="287"/>
      <c r="B74" s="276" t="s">
        <v>800</v>
      </c>
      <c r="C74" s="277" t="s">
        <v>801</v>
      </c>
      <c r="D74" s="241">
        <v>-251.4</v>
      </c>
    </row>
    <row r="75" spans="1:5" s="274" customFormat="1">
      <c r="A75" s="287" t="s">
        <v>802</v>
      </c>
      <c r="B75" s="336" t="s">
        <v>803</v>
      </c>
      <c r="C75" s="336"/>
      <c r="D75" s="336"/>
    </row>
    <row r="76" spans="1:5" s="274" customFormat="1" ht="63">
      <c r="A76" s="287"/>
      <c r="B76" s="276" t="s">
        <v>631</v>
      </c>
      <c r="C76" s="277" t="s">
        <v>865</v>
      </c>
      <c r="D76" s="278">
        <v>30</v>
      </c>
    </row>
    <row r="77" spans="1:5" s="274" customFormat="1" ht="63">
      <c r="A77" s="287"/>
      <c r="B77" s="276" t="s">
        <v>804</v>
      </c>
      <c r="C77" s="277" t="s">
        <v>866</v>
      </c>
      <c r="D77" s="278">
        <v>5</v>
      </c>
    </row>
    <row r="78" spans="1:5" s="274" customFormat="1" ht="31.5">
      <c r="A78" s="287"/>
      <c r="B78" s="276" t="s">
        <v>635</v>
      </c>
      <c r="C78" s="277" t="s">
        <v>805</v>
      </c>
      <c r="D78" s="278">
        <v>122</v>
      </c>
    </row>
    <row r="79" spans="1:5" ht="63">
      <c r="A79" s="288"/>
      <c r="B79" s="276" t="s">
        <v>639</v>
      </c>
      <c r="C79" s="277" t="s">
        <v>806</v>
      </c>
      <c r="D79" s="278">
        <v>1791.4</v>
      </c>
      <c r="E79" s="286"/>
    </row>
    <row r="80" spans="1:5" ht="47.25">
      <c r="A80" s="288"/>
      <c r="B80" s="276" t="s">
        <v>660</v>
      </c>
      <c r="C80" s="277" t="s">
        <v>807</v>
      </c>
      <c r="D80" s="278">
        <v>139.80000000000001</v>
      </c>
      <c r="E80" s="286"/>
    </row>
    <row r="81" spans="1:5">
      <c r="A81" s="287" t="s">
        <v>808</v>
      </c>
      <c r="B81" s="336" t="s">
        <v>809</v>
      </c>
      <c r="C81" s="336"/>
      <c r="D81" s="336"/>
      <c r="E81" s="286"/>
    </row>
    <row r="82" spans="1:5" ht="78.75">
      <c r="A82" s="288"/>
      <c r="B82" s="276" t="s">
        <v>778</v>
      </c>
      <c r="C82" s="277" t="s">
        <v>810</v>
      </c>
      <c r="D82" s="278">
        <v>100</v>
      </c>
      <c r="E82" s="286"/>
    </row>
    <row r="83" spans="1:5" s="274" customFormat="1">
      <c r="A83" s="273" t="s">
        <v>811</v>
      </c>
      <c r="B83" s="336" t="s">
        <v>812</v>
      </c>
      <c r="C83" s="336"/>
      <c r="D83" s="336"/>
    </row>
    <row r="84" spans="1:5" ht="78.75">
      <c r="A84" s="282"/>
      <c r="B84" s="276" t="s">
        <v>505</v>
      </c>
      <c r="C84" s="277" t="s">
        <v>813</v>
      </c>
      <c r="D84" s="241">
        <v>206403</v>
      </c>
    </row>
    <row r="85" spans="1:5" ht="126">
      <c r="A85" s="282"/>
      <c r="B85" s="276" t="s">
        <v>507</v>
      </c>
      <c r="C85" s="277" t="s">
        <v>814</v>
      </c>
      <c r="D85" s="241">
        <v>1162.5</v>
      </c>
    </row>
    <row r="86" spans="1:5" ht="47.25">
      <c r="A86" s="282"/>
      <c r="B86" s="276" t="s">
        <v>509</v>
      </c>
      <c r="C86" s="277" t="s">
        <v>815</v>
      </c>
      <c r="D86" s="241">
        <v>2320.6</v>
      </c>
    </row>
    <row r="87" spans="1:5" ht="31.5">
      <c r="A87" s="282"/>
      <c r="B87" s="276" t="s">
        <v>525</v>
      </c>
      <c r="C87" s="277" t="s">
        <v>816</v>
      </c>
      <c r="D87" s="278">
        <v>28616.7</v>
      </c>
    </row>
    <row r="88" spans="1:5" ht="47.25">
      <c r="A88" s="285"/>
      <c r="B88" s="276" t="s">
        <v>817</v>
      </c>
      <c r="C88" s="277" t="s">
        <v>818</v>
      </c>
      <c r="D88" s="278">
        <v>6.5</v>
      </c>
    </row>
    <row r="89" spans="1:5">
      <c r="A89" s="285"/>
      <c r="B89" s="276" t="s">
        <v>528</v>
      </c>
      <c r="C89" s="277" t="s">
        <v>819</v>
      </c>
      <c r="D89" s="278">
        <v>-0.3</v>
      </c>
    </row>
    <row r="90" spans="1:5" ht="47.25">
      <c r="A90" s="285"/>
      <c r="B90" s="276" t="s">
        <v>533</v>
      </c>
      <c r="C90" s="277" t="s">
        <v>820</v>
      </c>
      <c r="D90" s="278">
        <v>6094.4</v>
      </c>
    </row>
    <row r="91" spans="1:5" ht="47.25">
      <c r="A91" s="285"/>
      <c r="B91" s="276" t="s">
        <v>539</v>
      </c>
      <c r="C91" s="277" t="s">
        <v>821</v>
      </c>
      <c r="D91" s="278">
        <v>14750.3</v>
      </c>
    </row>
    <row r="92" spans="1:5" ht="31.5">
      <c r="A92" s="285"/>
      <c r="B92" s="276" t="s">
        <v>545</v>
      </c>
      <c r="C92" s="277" t="s">
        <v>822</v>
      </c>
      <c r="D92" s="278">
        <v>39070.9</v>
      </c>
    </row>
    <row r="93" spans="1:5" ht="47.25">
      <c r="A93" s="285"/>
      <c r="B93" s="276" t="s">
        <v>549</v>
      </c>
      <c r="C93" s="277" t="s">
        <v>823</v>
      </c>
      <c r="D93" s="278">
        <v>9707.1</v>
      </c>
    </row>
    <row r="94" spans="1:5" ht="47.25">
      <c r="A94" s="285"/>
      <c r="B94" s="276" t="s">
        <v>555</v>
      </c>
      <c r="C94" s="277" t="s">
        <v>824</v>
      </c>
      <c r="D94" s="278">
        <v>5420.5</v>
      </c>
    </row>
    <row r="95" spans="1:5" ht="78.75">
      <c r="A95" s="285"/>
      <c r="B95" s="276" t="s">
        <v>825</v>
      </c>
      <c r="C95" s="277" t="s">
        <v>826</v>
      </c>
      <c r="D95" s="278">
        <v>142</v>
      </c>
    </row>
    <row r="96" spans="1:5" ht="63">
      <c r="A96" s="285"/>
      <c r="B96" s="276" t="s">
        <v>625</v>
      </c>
      <c r="C96" s="277" t="s">
        <v>827</v>
      </c>
      <c r="D96" s="278">
        <v>15.4</v>
      </c>
    </row>
    <row r="97" spans="1:5" ht="63">
      <c r="A97" s="285"/>
      <c r="B97" s="276" t="s">
        <v>627</v>
      </c>
      <c r="C97" s="277" t="s">
        <v>828</v>
      </c>
      <c r="D97" s="278">
        <v>60</v>
      </c>
    </row>
    <row r="98" spans="1:5" s="274" customFormat="1">
      <c r="A98" s="287" t="s">
        <v>829</v>
      </c>
      <c r="B98" s="336" t="s">
        <v>830</v>
      </c>
      <c r="C98" s="336"/>
      <c r="D98" s="336"/>
    </row>
    <row r="99" spans="1:5" ht="63">
      <c r="A99" s="285"/>
      <c r="B99" s="276" t="s">
        <v>631</v>
      </c>
      <c r="C99" s="277" t="s">
        <v>831</v>
      </c>
      <c r="D99" s="278">
        <v>36.6</v>
      </c>
    </row>
    <row r="100" spans="1:5" ht="63">
      <c r="A100" s="285"/>
      <c r="B100" s="276" t="s">
        <v>804</v>
      </c>
      <c r="C100" s="277" t="s">
        <v>832</v>
      </c>
      <c r="D100" s="278">
        <v>1.5</v>
      </c>
    </row>
    <row r="101" spans="1:5" ht="31.5">
      <c r="A101" s="285"/>
      <c r="B101" s="276" t="s">
        <v>643</v>
      </c>
      <c r="C101" s="277" t="s">
        <v>833</v>
      </c>
      <c r="D101" s="278">
        <v>32.5</v>
      </c>
    </row>
    <row r="102" spans="1:5" ht="78.75">
      <c r="A102" s="285"/>
      <c r="B102" s="276" t="s">
        <v>834</v>
      </c>
      <c r="C102" s="277" t="s">
        <v>835</v>
      </c>
      <c r="D102" s="278">
        <v>54.4</v>
      </c>
    </row>
    <row r="103" spans="1:5" ht="47.25">
      <c r="A103" s="285"/>
      <c r="B103" s="276" t="s">
        <v>660</v>
      </c>
      <c r="C103" s="277" t="s">
        <v>836</v>
      </c>
      <c r="D103" s="278">
        <v>1824.7</v>
      </c>
      <c r="E103" s="286"/>
    </row>
    <row r="104" spans="1:5" s="274" customFormat="1" ht="36" customHeight="1">
      <c r="A104" s="287" t="s">
        <v>837</v>
      </c>
      <c r="B104" s="333" t="s">
        <v>838</v>
      </c>
      <c r="C104" s="333"/>
      <c r="D104" s="333"/>
    </row>
    <row r="105" spans="1:5" ht="47.25">
      <c r="A105" s="282"/>
      <c r="B105" s="276" t="s">
        <v>660</v>
      </c>
      <c r="C105" s="277" t="s">
        <v>839</v>
      </c>
      <c r="D105" s="278">
        <v>22.9</v>
      </c>
      <c r="E105" s="286"/>
    </row>
    <row r="106" spans="1:5" s="274" customFormat="1" ht="22.15" customHeight="1">
      <c r="A106" s="287" t="s">
        <v>840</v>
      </c>
      <c r="B106" s="334" t="s">
        <v>841</v>
      </c>
      <c r="C106" s="334"/>
      <c r="D106" s="334"/>
    </row>
    <row r="107" spans="1:5" ht="31.5">
      <c r="A107" s="285"/>
      <c r="B107" s="276" t="s">
        <v>637</v>
      </c>
      <c r="C107" s="277" t="s">
        <v>842</v>
      </c>
      <c r="D107" s="278">
        <v>126</v>
      </c>
      <c r="E107" s="286"/>
    </row>
    <row r="108" spans="1:5">
      <c r="A108" s="287" t="s">
        <v>878</v>
      </c>
      <c r="B108" s="334" t="s">
        <v>869</v>
      </c>
      <c r="C108" s="334"/>
      <c r="D108" s="334"/>
      <c r="E108" s="286"/>
    </row>
    <row r="109" spans="1:5" ht="78.75">
      <c r="A109" s="289"/>
      <c r="B109" s="276" t="s">
        <v>778</v>
      </c>
      <c r="C109" s="277" t="s">
        <v>870</v>
      </c>
      <c r="D109" s="290">
        <v>6</v>
      </c>
    </row>
    <row r="111" spans="1:5">
      <c r="A111" s="272"/>
      <c r="B111" s="291"/>
      <c r="D111" s="272"/>
      <c r="E111" s="291"/>
    </row>
    <row r="112" spans="1:5">
      <c r="A112" s="272"/>
      <c r="B112" s="291"/>
      <c r="D112" s="272"/>
    </row>
    <row r="113" spans="1:4">
      <c r="A113" s="272"/>
      <c r="B113" s="291"/>
      <c r="D113" s="272"/>
    </row>
    <row r="114" spans="1:4">
      <c r="A114" s="272"/>
      <c r="B114" s="291"/>
      <c r="D114" s="272"/>
    </row>
    <row r="115" spans="1:4">
      <c r="A115" s="272"/>
      <c r="B115" s="291"/>
      <c r="D115" s="272"/>
    </row>
    <row r="116" spans="1:4">
      <c r="A116" s="272"/>
      <c r="B116" s="291"/>
      <c r="C116" s="292"/>
      <c r="D116" s="272"/>
    </row>
    <row r="117" spans="1:4">
      <c r="A117" s="272"/>
      <c r="B117" s="291"/>
      <c r="C117" s="292"/>
      <c r="D117" s="272"/>
    </row>
    <row r="118" spans="1:4">
      <c r="A118" s="272"/>
      <c r="B118" s="291"/>
      <c r="C118" s="292"/>
      <c r="D118" s="272"/>
    </row>
    <row r="119" spans="1:4">
      <c r="A119" s="272"/>
      <c r="B119" s="291"/>
      <c r="C119" s="292"/>
      <c r="D119" s="272"/>
    </row>
    <row r="120" spans="1:4">
      <c r="A120" s="272"/>
      <c r="B120" s="291"/>
      <c r="C120" s="292"/>
      <c r="D120" s="272"/>
    </row>
    <row r="121" spans="1:4">
      <c r="A121" s="272"/>
      <c r="B121" s="291"/>
      <c r="C121" s="292"/>
      <c r="D121" s="272"/>
    </row>
    <row r="122" spans="1:4">
      <c r="A122" s="272"/>
      <c r="B122" s="291"/>
      <c r="C122" s="292"/>
      <c r="D122" s="272"/>
    </row>
    <row r="123" spans="1:4">
      <c r="A123" s="272"/>
      <c r="B123" s="291"/>
      <c r="C123" s="292"/>
    </row>
    <row r="124" spans="1:4">
      <c r="A124" s="272"/>
      <c r="B124" s="291"/>
      <c r="C124" s="292"/>
    </row>
    <row r="125" spans="1:4">
      <c r="A125" s="272"/>
      <c r="B125" s="291"/>
      <c r="C125" s="292"/>
    </row>
    <row r="126" spans="1:4">
      <c r="A126" s="272"/>
      <c r="B126" s="291"/>
      <c r="C126" s="292"/>
    </row>
    <row r="127" spans="1:4">
      <c r="A127" s="272"/>
      <c r="B127" s="291"/>
      <c r="C127" s="292"/>
    </row>
    <row r="128" spans="1:4">
      <c r="A128" s="272"/>
      <c r="B128" s="291"/>
      <c r="C128" s="292"/>
    </row>
    <row r="129" spans="1:4">
      <c r="A129" s="272"/>
      <c r="B129" s="291"/>
      <c r="C129" s="292"/>
    </row>
    <row r="130" spans="1:4">
      <c r="A130" s="272"/>
      <c r="B130" s="291"/>
      <c r="C130" s="292"/>
    </row>
    <row r="131" spans="1:4">
      <c r="A131" s="272"/>
      <c r="B131" s="291"/>
      <c r="C131" s="292"/>
    </row>
    <row r="132" spans="1:4">
      <c r="A132" s="272"/>
      <c r="B132" s="291"/>
      <c r="C132" s="292"/>
      <c r="D132" s="272"/>
    </row>
    <row r="133" spans="1:4">
      <c r="A133" s="272"/>
      <c r="B133" s="291"/>
      <c r="C133" s="291"/>
      <c r="D133" s="272"/>
    </row>
    <row r="134" spans="1:4">
      <c r="A134" s="272"/>
      <c r="B134" s="291"/>
      <c r="D134" s="272"/>
    </row>
    <row r="135" spans="1:4">
      <c r="A135" s="272"/>
      <c r="B135" s="293"/>
      <c r="D135" s="272"/>
    </row>
    <row r="136" spans="1:4">
      <c r="A136" s="272"/>
      <c r="B136" s="291"/>
      <c r="D136" s="272"/>
    </row>
  </sheetData>
  <autoFilter ref="A8:G109"/>
  <mergeCells count="23">
    <mergeCell ref="B64:D64"/>
    <mergeCell ref="B1:D1"/>
    <mergeCell ref="B2:D2"/>
    <mergeCell ref="B3:D3"/>
    <mergeCell ref="A5:D5"/>
    <mergeCell ref="A7:A8"/>
    <mergeCell ref="B7:B8"/>
    <mergeCell ref="C7:C8"/>
    <mergeCell ref="D7:D8"/>
    <mergeCell ref="B9:D9"/>
    <mergeCell ref="B17:D17"/>
    <mergeCell ref="B48:D48"/>
    <mergeCell ref="B59:D59"/>
    <mergeCell ref="B62:D62"/>
    <mergeCell ref="B104:D104"/>
    <mergeCell ref="B106:D106"/>
    <mergeCell ref="B108:D108"/>
    <mergeCell ref="B68:D68"/>
    <mergeCell ref="B70:D70"/>
    <mergeCell ref="B75:D75"/>
    <mergeCell ref="B81:D81"/>
    <mergeCell ref="B83:D83"/>
    <mergeCell ref="B98:D98"/>
  </mergeCells>
  <pageMargins left="0.78740157480314965" right="0.19685039370078741" top="0.19685039370078741" bottom="0.19685039370078741" header="0.11811023622047245" footer="0.11811023622047245"/>
  <pageSetup paperSize="9" scale="82" fitToHeight="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Лист2">
    <pageSetUpPr fitToPage="1"/>
  </sheetPr>
  <dimension ref="A1:F47"/>
  <sheetViews>
    <sheetView topLeftCell="A13" zoomScale="82" zoomScaleNormal="82" workbookViewId="0">
      <selection activeCell="A2" sqref="A2:D2"/>
    </sheetView>
  </sheetViews>
  <sheetFormatPr defaultColWidth="8.85546875" defaultRowHeight="15.75"/>
  <cols>
    <col min="1" max="1" width="7.5703125" style="17" customWidth="1"/>
    <col min="2" max="2" width="70.28515625" style="17" customWidth="1"/>
    <col min="3" max="3" width="12.7109375" style="17" customWidth="1"/>
    <col min="4" max="4" width="13.28515625" style="17" customWidth="1"/>
    <col min="5" max="16384" width="8.85546875" style="4"/>
  </cols>
  <sheetData>
    <row r="1" spans="1:6" ht="46.15" customHeight="1">
      <c r="A1" s="341" t="s">
        <v>879</v>
      </c>
      <c r="B1" s="341"/>
      <c r="C1" s="341"/>
      <c r="D1" s="341"/>
    </row>
    <row r="2" spans="1:6" ht="51" customHeight="1">
      <c r="A2" s="342" t="s">
        <v>476</v>
      </c>
      <c r="B2" s="342"/>
      <c r="C2" s="342"/>
      <c r="D2" s="342"/>
    </row>
    <row r="3" spans="1:6" ht="19.899999999999999" customHeight="1">
      <c r="A3" s="216"/>
      <c r="B3" s="216"/>
      <c r="C3" s="216"/>
      <c r="D3" s="51" t="s">
        <v>474</v>
      </c>
    </row>
    <row r="4" spans="1:6" ht="47.25">
      <c r="A4" s="211" t="s">
        <v>41</v>
      </c>
      <c r="B4" s="213" t="s">
        <v>23</v>
      </c>
      <c r="C4" s="208" t="s">
        <v>473</v>
      </c>
      <c r="D4" s="208" t="s">
        <v>475</v>
      </c>
    </row>
    <row r="5" spans="1:6">
      <c r="A5" s="211">
        <v>1</v>
      </c>
      <c r="B5" s="209" t="s">
        <v>83</v>
      </c>
      <c r="C5" s="31" t="s">
        <v>84</v>
      </c>
      <c r="D5" s="31" t="s">
        <v>85</v>
      </c>
    </row>
    <row r="6" spans="1:6">
      <c r="A6" s="30"/>
      <c r="B6" s="214" t="s">
        <v>64</v>
      </c>
      <c r="C6" s="7">
        <f>C7+C16+C19+C24+C28+C35+C37+C41+C44+C46</f>
        <v>884454.29999999993</v>
      </c>
      <c r="D6" s="7">
        <f>D7+D16+D19+D24+D28+D35+D37+D41+D44+D46</f>
        <v>817837.30000000016</v>
      </c>
    </row>
    <row r="7" spans="1:6">
      <c r="A7" s="215" t="s">
        <v>60</v>
      </c>
      <c r="B7" s="26" t="s">
        <v>25</v>
      </c>
      <c r="C7" s="7">
        <f>SUM(C8:C15)</f>
        <v>69757.199999999983</v>
      </c>
      <c r="D7" s="7">
        <f t="shared" ref="D7" si="0">SUM(D8:D15)</f>
        <v>69210.899999999994</v>
      </c>
    </row>
    <row r="8" spans="1:6" ht="30" customHeight="1">
      <c r="A8" s="31" t="s">
        <v>48</v>
      </c>
      <c r="B8" s="15" t="s">
        <v>65</v>
      </c>
      <c r="C8" s="8">
        <f>№7!E8</f>
        <v>1731.3999999999999</v>
      </c>
      <c r="D8" s="8">
        <f>№7!F8</f>
        <v>1731.4</v>
      </c>
    </row>
    <row r="9" spans="1:6" ht="46.5" customHeight="1">
      <c r="A9" s="31" t="s">
        <v>49</v>
      </c>
      <c r="B9" s="15" t="s">
        <v>26</v>
      </c>
      <c r="C9" s="8">
        <f>№7!E14</f>
        <v>3614.5</v>
      </c>
      <c r="D9" s="8">
        <f>№7!F14</f>
        <v>3614.5</v>
      </c>
    </row>
    <row r="10" spans="1:6" ht="45.75" customHeight="1">
      <c r="A10" s="31" t="s">
        <v>50</v>
      </c>
      <c r="B10" s="15" t="s">
        <v>27</v>
      </c>
      <c r="C10" s="8">
        <f>№7!E32</f>
        <v>25057.599999999995</v>
      </c>
      <c r="D10" s="8">
        <f>№7!F32</f>
        <v>25032.7</v>
      </c>
    </row>
    <row r="11" spans="1:6" ht="15.6" customHeight="1">
      <c r="A11" s="18" t="s">
        <v>200</v>
      </c>
      <c r="B11" s="9" t="s">
        <v>201</v>
      </c>
      <c r="C11" s="8">
        <f>№7!E59</f>
        <v>145</v>
      </c>
      <c r="D11" s="8">
        <f>№7!F59</f>
        <v>18.7</v>
      </c>
    </row>
    <row r="12" spans="1:6" ht="32.25" customHeight="1">
      <c r="A12" s="31" t="s">
        <v>51</v>
      </c>
      <c r="B12" s="15" t="s">
        <v>11</v>
      </c>
      <c r="C12" s="8">
        <f>№7!E65</f>
        <v>7379</v>
      </c>
      <c r="D12" s="8">
        <f>№7!F65</f>
        <v>7378.9999999999991</v>
      </c>
      <c r="F12" s="70"/>
    </row>
    <row r="13" spans="1:6" ht="15.75" customHeight="1">
      <c r="A13" s="18" t="s">
        <v>291</v>
      </c>
      <c r="B13" s="15" t="s">
        <v>292</v>
      </c>
      <c r="C13" s="8">
        <f>№7!E84</f>
        <v>88.6</v>
      </c>
      <c r="D13" s="8">
        <f>№7!F84</f>
        <v>88.6</v>
      </c>
    </row>
    <row r="14" spans="1:6">
      <c r="A14" s="31" t="s">
        <v>52</v>
      </c>
      <c r="B14" s="15" t="s">
        <v>12</v>
      </c>
      <c r="C14" s="8">
        <f>№7!E91</f>
        <v>200</v>
      </c>
      <c r="D14" s="8">
        <f>№7!F91</f>
        <v>0</v>
      </c>
    </row>
    <row r="15" spans="1:6">
      <c r="A15" s="31" t="s">
        <v>66</v>
      </c>
      <c r="B15" s="15" t="s">
        <v>28</v>
      </c>
      <c r="C15" s="8">
        <f>№7!E97</f>
        <v>31541.099999999995</v>
      </c>
      <c r="D15" s="8">
        <f>№7!F97</f>
        <v>31345.999999999996</v>
      </c>
    </row>
    <row r="16" spans="1:6" ht="15" customHeight="1">
      <c r="A16" s="5" t="s">
        <v>61</v>
      </c>
      <c r="B16" s="26" t="s">
        <v>29</v>
      </c>
      <c r="C16" s="7">
        <f>C17+C18</f>
        <v>8600.5</v>
      </c>
      <c r="D16" s="7">
        <f t="shared" ref="D16" si="1">D17+D18</f>
        <v>8600.4</v>
      </c>
    </row>
    <row r="17" spans="1:4">
      <c r="A17" s="31" t="s">
        <v>81</v>
      </c>
      <c r="B17" s="15" t="s">
        <v>82</v>
      </c>
      <c r="C17" s="8">
        <f>№7!E192</f>
        <v>1891.7000000000003</v>
      </c>
      <c r="D17" s="8">
        <f>№7!F192</f>
        <v>1891.6</v>
      </c>
    </row>
    <row r="18" spans="1:4" ht="31.5">
      <c r="A18" s="18" t="s">
        <v>53</v>
      </c>
      <c r="B18" s="15" t="s">
        <v>19</v>
      </c>
      <c r="C18" s="8">
        <f>№7!E204</f>
        <v>6708.8</v>
      </c>
      <c r="D18" s="8">
        <f>№7!F204</f>
        <v>6708.8</v>
      </c>
    </row>
    <row r="19" spans="1:4" ht="16.149999999999999" customHeight="1">
      <c r="A19" s="5" t="s">
        <v>62</v>
      </c>
      <c r="B19" s="26" t="s">
        <v>30</v>
      </c>
      <c r="C19" s="7">
        <f>C21+C22+C23+C20</f>
        <v>126811.59999999999</v>
      </c>
      <c r="D19" s="7">
        <f t="shared" ref="D19" si="2">D21+D22+D23+D20</f>
        <v>112347.3</v>
      </c>
    </row>
    <row r="20" spans="1:4">
      <c r="A20" s="18" t="s">
        <v>116</v>
      </c>
      <c r="B20" s="15" t="s">
        <v>117</v>
      </c>
      <c r="C20" s="8">
        <f>№7!E218</f>
        <v>366.9</v>
      </c>
      <c r="D20" s="8">
        <f>№7!F218</f>
        <v>366.9</v>
      </c>
    </row>
    <row r="21" spans="1:4">
      <c r="A21" s="31" t="s">
        <v>95</v>
      </c>
      <c r="B21" s="15" t="s">
        <v>96</v>
      </c>
      <c r="C21" s="8">
        <f>№7!E225</f>
        <v>404</v>
      </c>
      <c r="D21" s="8">
        <f>№7!F225</f>
        <v>404</v>
      </c>
    </row>
    <row r="22" spans="1:4">
      <c r="A22" s="31" t="s">
        <v>9</v>
      </c>
      <c r="B22" s="15" t="s">
        <v>99</v>
      </c>
      <c r="C22" s="8">
        <f>№7!E232</f>
        <v>122277.09999999999</v>
      </c>
      <c r="D22" s="8">
        <f>№7!F232</f>
        <v>107813.3</v>
      </c>
    </row>
    <row r="23" spans="1:4">
      <c r="A23" s="31" t="s">
        <v>54</v>
      </c>
      <c r="B23" s="15" t="s">
        <v>31</v>
      </c>
      <c r="C23" s="8">
        <f>№7!E254</f>
        <v>3763.6</v>
      </c>
      <c r="D23" s="8">
        <f>№7!F254</f>
        <v>3763.1</v>
      </c>
    </row>
    <row r="24" spans="1:4">
      <c r="A24" s="5" t="s">
        <v>63</v>
      </c>
      <c r="B24" s="26" t="s">
        <v>32</v>
      </c>
      <c r="C24" s="7">
        <f>C25+C27+C26</f>
        <v>92919.9</v>
      </c>
      <c r="D24" s="7">
        <f t="shared" ref="D24" si="3">D25+D27+D26</f>
        <v>41470.700000000004</v>
      </c>
    </row>
    <row r="25" spans="1:4">
      <c r="A25" s="31" t="s">
        <v>7</v>
      </c>
      <c r="B25" s="15" t="s">
        <v>8</v>
      </c>
      <c r="C25" s="8">
        <f>№7!E280</f>
        <v>1793.7</v>
      </c>
      <c r="D25" s="8">
        <f>№7!F280</f>
        <v>1788.9</v>
      </c>
    </row>
    <row r="26" spans="1:4">
      <c r="A26" s="18" t="s">
        <v>327</v>
      </c>
      <c r="B26" s="15" t="s">
        <v>328</v>
      </c>
      <c r="C26" s="8">
        <f>№7!E287</f>
        <v>6128.8000000000011</v>
      </c>
      <c r="D26" s="8">
        <f>№7!F287</f>
        <v>5625</v>
      </c>
    </row>
    <row r="27" spans="1:4">
      <c r="A27" s="31" t="s">
        <v>55</v>
      </c>
      <c r="B27" s="15" t="s">
        <v>33</v>
      </c>
      <c r="C27" s="8">
        <f>№7!E300</f>
        <v>84997.4</v>
      </c>
      <c r="D27" s="8">
        <f>№7!F300</f>
        <v>34056.800000000003</v>
      </c>
    </row>
    <row r="28" spans="1:4">
      <c r="A28" s="5" t="s">
        <v>42</v>
      </c>
      <c r="B28" s="6" t="s">
        <v>34</v>
      </c>
      <c r="C28" s="7">
        <f>C29+C30+C31+C33+C34+C32</f>
        <v>491811.4</v>
      </c>
      <c r="D28" s="7">
        <f t="shared" ref="D28" si="4">D29+D30+D31+D33+D34+D32</f>
        <v>491706.60000000009</v>
      </c>
    </row>
    <row r="29" spans="1:4">
      <c r="A29" s="31" t="s">
        <v>56</v>
      </c>
      <c r="B29" s="15" t="s">
        <v>14</v>
      </c>
      <c r="C29" s="8">
        <f>№7!E353</f>
        <v>186741.30000000002</v>
      </c>
      <c r="D29" s="8">
        <f>№7!F353</f>
        <v>186741.30000000002</v>
      </c>
    </row>
    <row r="30" spans="1:4">
      <c r="A30" s="18" t="s">
        <v>57</v>
      </c>
      <c r="B30" s="15" t="s">
        <v>15</v>
      </c>
      <c r="C30" s="8">
        <f>№7!E379</f>
        <v>247075.69999999998</v>
      </c>
      <c r="D30" s="8">
        <f>№7!F379</f>
        <v>246993.30000000002</v>
      </c>
    </row>
    <row r="31" spans="1:4">
      <c r="A31" s="18" t="s">
        <v>100</v>
      </c>
      <c r="B31" s="15" t="s">
        <v>101</v>
      </c>
      <c r="C31" s="8">
        <f>№7!E447</f>
        <v>46500.7</v>
      </c>
      <c r="D31" s="8">
        <f>№7!F447</f>
        <v>46478.7</v>
      </c>
    </row>
    <row r="32" spans="1:4" ht="32.450000000000003" customHeight="1">
      <c r="A32" s="18" t="s">
        <v>265</v>
      </c>
      <c r="B32" s="15" t="s">
        <v>442</v>
      </c>
      <c r="C32" s="8">
        <f>№7!E484</f>
        <v>243.4</v>
      </c>
      <c r="D32" s="8">
        <f>№7!F484</f>
        <v>243.4</v>
      </c>
    </row>
    <row r="33" spans="1:4">
      <c r="A33" s="18" t="s">
        <v>43</v>
      </c>
      <c r="B33" s="15" t="s">
        <v>115</v>
      </c>
      <c r="C33" s="8">
        <f>№7!E491</f>
        <v>3604.0999999999995</v>
      </c>
      <c r="D33" s="8">
        <f>№7!F491</f>
        <v>3603.7</v>
      </c>
    </row>
    <row r="34" spans="1:4">
      <c r="A34" s="18" t="s">
        <v>58</v>
      </c>
      <c r="B34" s="15" t="s">
        <v>16</v>
      </c>
      <c r="C34" s="8">
        <f>№7!E527</f>
        <v>7646.2</v>
      </c>
      <c r="D34" s="8">
        <f>№7!F527</f>
        <v>7646.2</v>
      </c>
    </row>
    <row r="35" spans="1:4">
      <c r="A35" s="5" t="s">
        <v>46</v>
      </c>
      <c r="B35" s="26" t="s">
        <v>88</v>
      </c>
      <c r="C35" s="7">
        <f>C36</f>
        <v>38286.5</v>
      </c>
      <c r="D35" s="7">
        <f t="shared" ref="D35" si="5">D36</f>
        <v>38286.5</v>
      </c>
    </row>
    <row r="36" spans="1:4">
      <c r="A36" s="31" t="s">
        <v>47</v>
      </c>
      <c r="B36" s="15" t="s">
        <v>17</v>
      </c>
      <c r="C36" s="8">
        <f>№7!E556</f>
        <v>38286.5</v>
      </c>
      <c r="D36" s="8">
        <f>№7!F556</f>
        <v>38286.5</v>
      </c>
    </row>
    <row r="37" spans="1:4">
      <c r="A37" s="5" t="s">
        <v>44</v>
      </c>
      <c r="B37" s="26" t="s">
        <v>36</v>
      </c>
      <c r="C37" s="7">
        <f>C38+C39+C40</f>
        <v>39306.699999999997</v>
      </c>
      <c r="D37" s="7">
        <f t="shared" ref="D37" si="6">D38+D39+D40</f>
        <v>39283.399999999994</v>
      </c>
    </row>
    <row r="38" spans="1:4">
      <c r="A38" s="31" t="s">
        <v>59</v>
      </c>
      <c r="B38" s="15" t="s">
        <v>37</v>
      </c>
      <c r="C38" s="8">
        <f>№7!E609</f>
        <v>1270.7</v>
      </c>
      <c r="D38" s="8">
        <f>№7!F609</f>
        <v>1270.7</v>
      </c>
    </row>
    <row r="39" spans="1:4">
      <c r="A39" s="31" t="s">
        <v>45</v>
      </c>
      <c r="B39" s="15" t="s">
        <v>39</v>
      </c>
      <c r="C39" s="8">
        <f>№7!E618</f>
        <v>16584.900000000001</v>
      </c>
      <c r="D39" s="8">
        <f>№7!F618</f>
        <v>16561.599999999999</v>
      </c>
    </row>
    <row r="40" spans="1:4">
      <c r="A40" s="31" t="s">
        <v>91</v>
      </c>
      <c r="B40" s="15" t="s">
        <v>92</v>
      </c>
      <c r="C40" s="8">
        <f>№7!E648</f>
        <v>21451.1</v>
      </c>
      <c r="D40" s="8">
        <f>№7!F648</f>
        <v>21451.1</v>
      </c>
    </row>
    <row r="41" spans="1:4">
      <c r="A41" s="5" t="s">
        <v>67</v>
      </c>
      <c r="B41" s="26" t="s">
        <v>35</v>
      </c>
      <c r="C41" s="7">
        <f>C42+C43</f>
        <v>14055.999999999998</v>
      </c>
      <c r="D41" s="7">
        <f t="shared" ref="D41" si="7">D42+D43</f>
        <v>14027</v>
      </c>
    </row>
    <row r="42" spans="1:4" ht="14.25" customHeight="1">
      <c r="A42" s="31" t="s">
        <v>93</v>
      </c>
      <c r="B42" s="15" t="s">
        <v>68</v>
      </c>
      <c r="C42" s="8">
        <f>№7!E667</f>
        <v>13266.199999999999</v>
      </c>
      <c r="D42" s="8">
        <f>№7!F667</f>
        <v>13237.2</v>
      </c>
    </row>
    <row r="43" spans="1:4" ht="15.6" customHeight="1">
      <c r="A43" s="31" t="s">
        <v>94</v>
      </c>
      <c r="B43" s="15" t="s">
        <v>0</v>
      </c>
      <c r="C43" s="8">
        <f>№7!E712</f>
        <v>789.8</v>
      </c>
      <c r="D43" s="8">
        <f>№7!F712</f>
        <v>789.8</v>
      </c>
    </row>
    <row r="44" spans="1:4" ht="15" customHeight="1">
      <c r="A44" s="5" t="s">
        <v>102</v>
      </c>
      <c r="B44" s="26" t="s">
        <v>69</v>
      </c>
      <c r="C44" s="7">
        <f>C45</f>
        <v>2824.2</v>
      </c>
      <c r="D44" s="7">
        <f t="shared" ref="D44" si="8">D45</f>
        <v>2824.2</v>
      </c>
    </row>
    <row r="45" spans="1:4" ht="15.6" customHeight="1">
      <c r="A45" s="31" t="s">
        <v>70</v>
      </c>
      <c r="B45" s="15" t="s">
        <v>71</v>
      </c>
      <c r="C45" s="8">
        <f>№7!E722</f>
        <v>2824.2</v>
      </c>
      <c r="D45" s="8">
        <f>№7!F722</f>
        <v>2824.2</v>
      </c>
    </row>
    <row r="46" spans="1:4">
      <c r="A46" s="5" t="s">
        <v>103</v>
      </c>
      <c r="B46" s="26" t="s">
        <v>114</v>
      </c>
      <c r="C46" s="7">
        <f>C47</f>
        <v>80.300000000000011</v>
      </c>
      <c r="D46" s="7">
        <f t="shared" ref="D46" si="9">D47</f>
        <v>80.3</v>
      </c>
    </row>
    <row r="47" spans="1:4" ht="30.6" customHeight="1">
      <c r="A47" s="31" t="s">
        <v>104</v>
      </c>
      <c r="B47" s="15" t="s">
        <v>105</v>
      </c>
      <c r="C47" s="8">
        <f>№7!E738</f>
        <v>80.300000000000011</v>
      </c>
      <c r="D47" s="8">
        <f>№7!F738</f>
        <v>80.3</v>
      </c>
    </row>
  </sheetData>
  <mergeCells count="2">
    <mergeCell ref="A1:D1"/>
    <mergeCell ref="A2:D2"/>
  </mergeCells>
  <pageMargins left="0.98425196850393704" right="0.19685039370078741" top="0.19685039370078741" bottom="0.19685039370078741"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888"/>
  <sheetViews>
    <sheetView topLeftCell="A868" zoomScale="94" zoomScaleNormal="94" workbookViewId="0">
      <selection activeCell="C857" sqref="C857"/>
    </sheetView>
  </sheetViews>
  <sheetFormatPr defaultColWidth="8.85546875" defaultRowHeight="15.75"/>
  <cols>
    <col min="1" max="1" width="6.28515625" style="4" customWidth="1"/>
    <col min="2" max="2" width="5.85546875" style="4" customWidth="1"/>
    <col min="3" max="3" width="14.7109375" style="4" customWidth="1"/>
    <col min="4" max="4" width="5.7109375" style="4" customWidth="1"/>
    <col min="5" max="5" width="67.7109375" style="38" customWidth="1"/>
    <col min="6" max="6" width="13.28515625" style="34" customWidth="1"/>
    <col min="7" max="7" width="12.7109375" style="34" customWidth="1"/>
    <col min="8" max="9" width="10.42578125" style="40" bestFit="1" customWidth="1"/>
    <col min="10" max="16384" width="8.85546875" style="4"/>
  </cols>
  <sheetData>
    <row r="1" spans="1:7" ht="52.15" customHeight="1">
      <c r="A1" s="53"/>
      <c r="B1" s="343" t="s">
        <v>880</v>
      </c>
      <c r="C1" s="343"/>
      <c r="D1" s="343"/>
      <c r="E1" s="343"/>
      <c r="F1" s="343"/>
      <c r="G1" s="343"/>
    </row>
    <row r="2" spans="1:7" ht="33" customHeight="1">
      <c r="A2" s="344" t="s">
        <v>477</v>
      </c>
      <c r="B2" s="344"/>
      <c r="C2" s="344"/>
      <c r="D2" s="344"/>
      <c r="E2" s="344"/>
      <c r="F2" s="344"/>
      <c r="G2" s="344"/>
    </row>
    <row r="3" spans="1:7" ht="17.25" customHeight="1">
      <c r="A3" s="210"/>
      <c r="B3" s="210"/>
      <c r="C3" s="210"/>
      <c r="D3" s="210"/>
      <c r="E3" s="210"/>
      <c r="F3" s="210"/>
      <c r="G3" s="63" t="s">
        <v>474</v>
      </c>
    </row>
    <row r="4" spans="1:7" ht="47.25">
      <c r="A4" s="30" t="s">
        <v>20</v>
      </c>
      <c r="B4" s="30" t="s">
        <v>41</v>
      </c>
      <c r="C4" s="30" t="s">
        <v>21</v>
      </c>
      <c r="D4" s="30" t="s">
        <v>22</v>
      </c>
      <c r="E4" s="212" t="s">
        <v>23</v>
      </c>
      <c r="F4" s="208" t="s">
        <v>473</v>
      </c>
      <c r="G4" s="13" t="s">
        <v>475</v>
      </c>
    </row>
    <row r="5" spans="1:7">
      <c r="A5" s="54" t="s">
        <v>5</v>
      </c>
      <c r="B5" s="54" t="s">
        <v>83</v>
      </c>
      <c r="C5" s="54" t="s">
        <v>84</v>
      </c>
      <c r="D5" s="54" t="s">
        <v>85</v>
      </c>
      <c r="E5" s="56" t="s">
        <v>86</v>
      </c>
      <c r="F5" s="126" t="s">
        <v>87</v>
      </c>
      <c r="G5" s="201" t="s">
        <v>106</v>
      </c>
    </row>
    <row r="6" spans="1:7">
      <c r="A6" s="19" t="s">
        <v>72</v>
      </c>
      <c r="B6" s="19" t="s">
        <v>72</v>
      </c>
      <c r="C6" s="19" t="s">
        <v>72</v>
      </c>
      <c r="D6" s="19" t="s">
        <v>72</v>
      </c>
      <c r="E6" s="32" t="s">
        <v>1</v>
      </c>
      <c r="F6" s="33">
        <f>F7+F496+F550+F620+F640+F699</f>
        <v>884454.29999999993</v>
      </c>
      <c r="G6" s="33">
        <f>G7+G496+G550+G620+G640+G699</f>
        <v>817837.3</v>
      </c>
    </row>
    <row r="7" spans="1:7">
      <c r="A7" s="19" t="s">
        <v>24</v>
      </c>
      <c r="B7" s="30" t="s">
        <v>72</v>
      </c>
      <c r="C7" s="30" t="s">
        <v>72</v>
      </c>
      <c r="D7" s="30" t="s">
        <v>72</v>
      </c>
      <c r="E7" s="32" t="s">
        <v>89</v>
      </c>
      <c r="F7" s="33">
        <f>F8+F134+F160+F217+F283+F350+F403+F479+F433</f>
        <v>367651.6</v>
      </c>
      <c r="G7" s="33">
        <f>G8+G134+G160+G217+G283+G350+G403+G479+G433</f>
        <v>301366.80000000005</v>
      </c>
    </row>
    <row r="8" spans="1:7">
      <c r="A8" s="54" t="s">
        <v>24</v>
      </c>
      <c r="B8" s="54" t="s">
        <v>60</v>
      </c>
      <c r="C8" s="54" t="s">
        <v>72</v>
      </c>
      <c r="D8" s="54" t="s">
        <v>72</v>
      </c>
      <c r="E8" s="16" t="s">
        <v>25</v>
      </c>
      <c r="F8" s="28">
        <f>F9+F15+F42+F55+F48</f>
        <v>48822.999999999985</v>
      </c>
      <c r="G8" s="28">
        <f>G9+G15+G42+G55+G48</f>
        <v>48497.399999999994</v>
      </c>
    </row>
    <row r="9" spans="1:7" ht="31.5">
      <c r="A9" s="54" t="s">
        <v>24</v>
      </c>
      <c r="B9" s="54" t="s">
        <v>48</v>
      </c>
      <c r="C9" s="54" t="s">
        <v>72</v>
      </c>
      <c r="D9" s="54" t="s">
        <v>72</v>
      </c>
      <c r="E9" s="9" t="s">
        <v>65</v>
      </c>
      <c r="F9" s="28">
        <f>F10</f>
        <v>1731.3999999999999</v>
      </c>
      <c r="G9" s="28">
        <f t="shared" ref="G9:G13" si="0">G10</f>
        <v>1731.4</v>
      </c>
    </row>
    <row r="10" spans="1:7">
      <c r="A10" s="54" t="s">
        <v>24</v>
      </c>
      <c r="B10" s="54" t="s">
        <v>48</v>
      </c>
      <c r="C10" s="54">
        <v>9900000000</v>
      </c>
      <c r="D10" s="54"/>
      <c r="E10" s="55" t="s">
        <v>124</v>
      </c>
      <c r="F10" s="28">
        <f>F11</f>
        <v>1731.3999999999999</v>
      </c>
      <c r="G10" s="28">
        <f t="shared" si="0"/>
        <v>1731.4</v>
      </c>
    </row>
    <row r="11" spans="1:7" ht="31.5">
      <c r="A11" s="54" t="s">
        <v>24</v>
      </c>
      <c r="B11" s="54" t="s">
        <v>48</v>
      </c>
      <c r="C11" s="54">
        <v>9990000000</v>
      </c>
      <c r="D11" s="54"/>
      <c r="E11" s="55" t="s">
        <v>189</v>
      </c>
      <c r="F11" s="28">
        <f>F12</f>
        <v>1731.3999999999999</v>
      </c>
      <c r="G11" s="28">
        <f t="shared" si="0"/>
        <v>1731.4</v>
      </c>
    </row>
    <row r="12" spans="1:7">
      <c r="A12" s="54" t="s">
        <v>24</v>
      </c>
      <c r="B12" s="54" t="s">
        <v>48</v>
      </c>
      <c r="C12" s="54">
        <v>9990021000</v>
      </c>
      <c r="D12" s="30"/>
      <c r="E12" s="55" t="s">
        <v>190</v>
      </c>
      <c r="F12" s="28">
        <f>F13</f>
        <v>1731.3999999999999</v>
      </c>
      <c r="G12" s="28">
        <f t="shared" si="0"/>
        <v>1731.4</v>
      </c>
    </row>
    <row r="13" spans="1:7" ht="63">
      <c r="A13" s="54" t="s">
        <v>24</v>
      </c>
      <c r="B13" s="54" t="s">
        <v>48</v>
      </c>
      <c r="C13" s="54">
        <v>9990021000</v>
      </c>
      <c r="D13" s="54" t="s">
        <v>74</v>
      </c>
      <c r="E13" s="55" t="s">
        <v>2</v>
      </c>
      <c r="F13" s="28">
        <f>F14</f>
        <v>1731.3999999999999</v>
      </c>
      <c r="G13" s="28">
        <f t="shared" si="0"/>
        <v>1731.4</v>
      </c>
    </row>
    <row r="14" spans="1:7" ht="33" customHeight="1">
      <c r="A14" s="54" t="s">
        <v>24</v>
      </c>
      <c r="B14" s="54" t="s">
        <v>48</v>
      </c>
      <c r="C14" s="54">
        <v>9990021000</v>
      </c>
      <c r="D14" s="54">
        <v>120</v>
      </c>
      <c r="E14" s="55" t="s">
        <v>443</v>
      </c>
      <c r="F14" s="28">
        <f>1479+303.1-50.7</f>
        <v>1731.3999999999999</v>
      </c>
      <c r="G14" s="28">
        <v>1731.4</v>
      </c>
    </row>
    <row r="15" spans="1:7" ht="47.25">
      <c r="A15" s="54" t="s">
        <v>24</v>
      </c>
      <c r="B15" s="54" t="s">
        <v>50</v>
      </c>
      <c r="C15" s="54" t="s">
        <v>72</v>
      </c>
      <c r="D15" s="54" t="s">
        <v>72</v>
      </c>
      <c r="E15" s="55" t="s">
        <v>27</v>
      </c>
      <c r="F15" s="28">
        <f>F16</f>
        <v>25057.599999999995</v>
      </c>
      <c r="G15" s="28">
        <f t="shared" ref="G15:G17" si="1">G16</f>
        <v>25032.7</v>
      </c>
    </row>
    <row r="16" spans="1:7">
      <c r="A16" s="54" t="s">
        <v>24</v>
      </c>
      <c r="B16" s="54" t="s">
        <v>50</v>
      </c>
      <c r="C16" s="54">
        <v>9900000000</v>
      </c>
      <c r="D16" s="54"/>
      <c r="E16" s="55" t="s">
        <v>124</v>
      </c>
      <c r="F16" s="28">
        <f>F17</f>
        <v>25057.599999999995</v>
      </c>
      <c r="G16" s="28">
        <f t="shared" si="1"/>
        <v>25032.7</v>
      </c>
    </row>
    <row r="17" spans="1:7" ht="31.5">
      <c r="A17" s="54" t="s">
        <v>24</v>
      </c>
      <c r="B17" s="54" t="s">
        <v>50</v>
      </c>
      <c r="C17" s="54">
        <v>9990000000</v>
      </c>
      <c r="D17" s="54"/>
      <c r="E17" s="87" t="s">
        <v>189</v>
      </c>
      <c r="F17" s="28">
        <f>F18</f>
        <v>25057.599999999995</v>
      </c>
      <c r="G17" s="28">
        <f t="shared" si="1"/>
        <v>25032.7</v>
      </c>
    </row>
    <row r="18" spans="1:7" ht="31.5">
      <c r="A18" s="54" t="s">
        <v>24</v>
      </c>
      <c r="B18" s="54" t="s">
        <v>50</v>
      </c>
      <c r="C18" s="54">
        <v>9990200000</v>
      </c>
      <c r="D18" s="30"/>
      <c r="E18" s="87" t="s">
        <v>138</v>
      </c>
      <c r="F18" s="28">
        <f>F30+F39+F22+F19+F27</f>
        <v>25057.599999999995</v>
      </c>
      <c r="G18" s="28">
        <f t="shared" ref="G18" si="2">G30+G39+G22+G19+G27</f>
        <v>25032.7</v>
      </c>
    </row>
    <row r="19" spans="1:7" ht="47.25" customHeight="1">
      <c r="A19" s="199" t="s">
        <v>24</v>
      </c>
      <c r="B19" s="199" t="s">
        <v>50</v>
      </c>
      <c r="C19" s="199">
        <v>9990210200</v>
      </c>
      <c r="D19" s="30"/>
      <c r="E19" s="200" t="s">
        <v>349</v>
      </c>
      <c r="F19" s="28">
        <f>F20</f>
        <v>70.2</v>
      </c>
      <c r="G19" s="28">
        <f t="shared" ref="G19:G20" si="3">G20</f>
        <v>70.2</v>
      </c>
    </row>
    <row r="20" spans="1:7" ht="63">
      <c r="A20" s="199" t="s">
        <v>24</v>
      </c>
      <c r="B20" s="199" t="s">
        <v>50</v>
      </c>
      <c r="C20" s="199">
        <v>9990210200</v>
      </c>
      <c r="D20" s="199" t="s">
        <v>74</v>
      </c>
      <c r="E20" s="200" t="s">
        <v>2</v>
      </c>
      <c r="F20" s="28">
        <f>F21</f>
        <v>70.2</v>
      </c>
      <c r="G20" s="28">
        <f t="shared" si="3"/>
        <v>70.2</v>
      </c>
    </row>
    <row r="21" spans="1:7" ht="31.5">
      <c r="A21" s="199" t="s">
        <v>24</v>
      </c>
      <c r="B21" s="199" t="s">
        <v>50</v>
      </c>
      <c r="C21" s="199">
        <v>9990210200</v>
      </c>
      <c r="D21" s="199">
        <v>120</v>
      </c>
      <c r="E21" s="200" t="s">
        <v>443</v>
      </c>
      <c r="F21" s="28">
        <v>70.2</v>
      </c>
      <c r="G21" s="28">
        <v>70.2</v>
      </c>
    </row>
    <row r="22" spans="1:7" ht="50.25" customHeight="1">
      <c r="A22" s="54" t="s">
        <v>24</v>
      </c>
      <c r="B22" s="54" t="s">
        <v>50</v>
      </c>
      <c r="C22" s="54">
        <v>9990210510</v>
      </c>
      <c r="D22" s="54"/>
      <c r="E22" s="55" t="s">
        <v>192</v>
      </c>
      <c r="F22" s="28">
        <f>F23+F25</f>
        <v>650</v>
      </c>
      <c r="G22" s="28">
        <f t="shared" ref="G22" si="4">G23+G25</f>
        <v>650</v>
      </c>
    </row>
    <row r="23" spans="1:7" ht="63">
      <c r="A23" s="54" t="s">
        <v>24</v>
      </c>
      <c r="B23" s="54" t="s">
        <v>50</v>
      </c>
      <c r="C23" s="54">
        <v>9990210510</v>
      </c>
      <c r="D23" s="54" t="s">
        <v>74</v>
      </c>
      <c r="E23" s="55" t="s">
        <v>2</v>
      </c>
      <c r="F23" s="28">
        <f>F24</f>
        <v>575</v>
      </c>
      <c r="G23" s="28">
        <f t="shared" ref="G23" si="5">G24</f>
        <v>575</v>
      </c>
    </row>
    <row r="24" spans="1:7" ht="31.5">
      <c r="A24" s="54" t="s">
        <v>24</v>
      </c>
      <c r="B24" s="54" t="s">
        <v>50</v>
      </c>
      <c r="C24" s="54">
        <v>9990210510</v>
      </c>
      <c r="D24" s="54">
        <v>120</v>
      </c>
      <c r="E24" s="55" t="s">
        <v>443</v>
      </c>
      <c r="F24" s="28">
        <v>575</v>
      </c>
      <c r="G24" s="28">
        <v>575</v>
      </c>
    </row>
    <row r="25" spans="1:7" ht="31.5">
      <c r="A25" s="54" t="s">
        <v>24</v>
      </c>
      <c r="B25" s="54" t="s">
        <v>50</v>
      </c>
      <c r="C25" s="54">
        <v>9990210510</v>
      </c>
      <c r="D25" s="54" t="s">
        <v>75</v>
      </c>
      <c r="E25" s="55" t="s">
        <v>107</v>
      </c>
      <c r="F25" s="28">
        <f>F26</f>
        <v>75</v>
      </c>
      <c r="G25" s="28">
        <f t="shared" ref="G25" si="6">G26</f>
        <v>75</v>
      </c>
    </row>
    <row r="26" spans="1:7" ht="31.5">
      <c r="A26" s="54" t="s">
        <v>24</v>
      </c>
      <c r="B26" s="54" t="s">
        <v>50</v>
      </c>
      <c r="C26" s="54">
        <v>9990210510</v>
      </c>
      <c r="D26" s="54">
        <v>240</v>
      </c>
      <c r="E26" s="55" t="s">
        <v>441</v>
      </c>
      <c r="F26" s="28">
        <v>75</v>
      </c>
      <c r="G26" s="28">
        <v>75</v>
      </c>
    </row>
    <row r="27" spans="1:7" ht="48.75" customHeight="1">
      <c r="A27" s="199" t="s">
        <v>24</v>
      </c>
      <c r="B27" s="199" t="s">
        <v>50</v>
      </c>
      <c r="C27" s="199" t="s">
        <v>470</v>
      </c>
      <c r="D27" s="199"/>
      <c r="E27" s="200" t="s">
        <v>354</v>
      </c>
      <c r="F27" s="28">
        <f>F28</f>
        <v>7</v>
      </c>
      <c r="G27" s="28">
        <f t="shared" ref="G27:G28" si="7">G28</f>
        <v>7</v>
      </c>
    </row>
    <row r="28" spans="1:7" ht="63">
      <c r="A28" s="199" t="s">
        <v>24</v>
      </c>
      <c r="B28" s="199" t="s">
        <v>50</v>
      </c>
      <c r="C28" s="199" t="s">
        <v>470</v>
      </c>
      <c r="D28" s="199" t="s">
        <v>74</v>
      </c>
      <c r="E28" s="200" t="s">
        <v>2</v>
      </c>
      <c r="F28" s="28">
        <f>F29</f>
        <v>7</v>
      </c>
      <c r="G28" s="28">
        <f t="shared" si="7"/>
        <v>7</v>
      </c>
    </row>
    <row r="29" spans="1:7" ht="31.5">
      <c r="A29" s="199" t="s">
        <v>24</v>
      </c>
      <c r="B29" s="199" t="s">
        <v>50</v>
      </c>
      <c r="C29" s="199" t="s">
        <v>470</v>
      </c>
      <c r="D29" s="199">
        <v>120</v>
      </c>
      <c r="E29" s="200" t="s">
        <v>443</v>
      </c>
      <c r="F29" s="28">
        <v>7</v>
      </c>
      <c r="G29" s="28">
        <v>7</v>
      </c>
    </row>
    <row r="30" spans="1:7" ht="47.25">
      <c r="A30" s="54" t="s">
        <v>24</v>
      </c>
      <c r="B30" s="54" t="s">
        <v>50</v>
      </c>
      <c r="C30" s="54">
        <v>9990225000</v>
      </c>
      <c r="D30" s="54"/>
      <c r="E30" s="55" t="s">
        <v>139</v>
      </c>
      <c r="F30" s="28">
        <f>F31+F33+F37+F35</f>
        <v>24227.399999999994</v>
      </c>
      <c r="G30" s="28">
        <f t="shared" ref="G30" si="8">G31+G33+G37+G35</f>
        <v>24202.5</v>
      </c>
    </row>
    <row r="31" spans="1:7" ht="63">
      <c r="A31" s="54" t="s">
        <v>24</v>
      </c>
      <c r="B31" s="54" t="s">
        <v>50</v>
      </c>
      <c r="C31" s="54">
        <v>9990225000</v>
      </c>
      <c r="D31" s="54" t="s">
        <v>74</v>
      </c>
      <c r="E31" s="55" t="s">
        <v>2</v>
      </c>
      <c r="F31" s="28">
        <f>F32</f>
        <v>22161.499999999996</v>
      </c>
      <c r="G31" s="28">
        <f t="shared" ref="G31" si="9">G32</f>
        <v>22161.5</v>
      </c>
    </row>
    <row r="32" spans="1:7" ht="34.9" customHeight="1">
      <c r="A32" s="54" t="s">
        <v>24</v>
      </c>
      <c r="B32" s="54" t="s">
        <v>50</v>
      </c>
      <c r="C32" s="54">
        <v>9990225000</v>
      </c>
      <c r="D32" s="54">
        <v>120</v>
      </c>
      <c r="E32" s="55" t="s">
        <v>443</v>
      </c>
      <c r="F32" s="28">
        <f>22241.6-1819.8-282.9+76-129.3+1851.6+207+44.3-7-20</f>
        <v>22161.499999999996</v>
      </c>
      <c r="G32" s="28">
        <v>22161.5</v>
      </c>
    </row>
    <row r="33" spans="1:7" ht="31.5">
      <c r="A33" s="54" t="s">
        <v>24</v>
      </c>
      <c r="B33" s="54" t="s">
        <v>50</v>
      </c>
      <c r="C33" s="54">
        <v>9990225000</v>
      </c>
      <c r="D33" s="54" t="s">
        <v>75</v>
      </c>
      <c r="E33" s="55" t="s">
        <v>107</v>
      </c>
      <c r="F33" s="28">
        <f>F34</f>
        <v>1857.3000000000002</v>
      </c>
      <c r="G33" s="28">
        <f t="shared" ref="G33" si="10">G34</f>
        <v>1832.4</v>
      </c>
    </row>
    <row r="34" spans="1:7" ht="30.6" customHeight="1">
      <c r="A34" s="54" t="s">
        <v>24</v>
      </c>
      <c r="B34" s="54" t="s">
        <v>50</v>
      </c>
      <c r="C34" s="54">
        <v>9990225000</v>
      </c>
      <c r="D34" s="54">
        <v>240</v>
      </c>
      <c r="E34" s="55" t="s">
        <v>441</v>
      </c>
      <c r="F34" s="28">
        <f>1571.4+65.3+1.3-6.6+109.4+15.5+101</f>
        <v>1857.3000000000002</v>
      </c>
      <c r="G34" s="28">
        <v>1832.4</v>
      </c>
    </row>
    <row r="35" spans="1:7" ht="17.25" customHeight="1">
      <c r="A35" s="124" t="s">
        <v>24</v>
      </c>
      <c r="B35" s="124" t="s">
        <v>50</v>
      </c>
      <c r="C35" s="124">
        <v>9990225000</v>
      </c>
      <c r="D35" s="124">
        <v>300</v>
      </c>
      <c r="E35" s="125" t="s">
        <v>80</v>
      </c>
      <c r="F35" s="28">
        <f>F36</f>
        <v>129.30000000000001</v>
      </c>
      <c r="G35" s="28">
        <f t="shared" ref="G35" si="11">G36</f>
        <v>129.30000000000001</v>
      </c>
    </row>
    <row r="36" spans="1:7" ht="30.6" customHeight="1">
      <c r="A36" s="124" t="s">
        <v>24</v>
      </c>
      <c r="B36" s="124" t="s">
        <v>50</v>
      </c>
      <c r="C36" s="124">
        <v>9990225000</v>
      </c>
      <c r="D36" s="124">
        <v>320</v>
      </c>
      <c r="E36" s="125" t="s">
        <v>121</v>
      </c>
      <c r="F36" s="28">
        <v>129.30000000000001</v>
      </c>
      <c r="G36" s="28">
        <v>129.30000000000001</v>
      </c>
    </row>
    <row r="37" spans="1:7">
      <c r="A37" s="54" t="s">
        <v>24</v>
      </c>
      <c r="B37" s="54" t="s">
        <v>50</v>
      </c>
      <c r="C37" s="54">
        <v>9990225000</v>
      </c>
      <c r="D37" s="54" t="s">
        <v>76</v>
      </c>
      <c r="E37" s="55" t="s">
        <v>77</v>
      </c>
      <c r="F37" s="28">
        <f>F38</f>
        <v>79.300000000000011</v>
      </c>
      <c r="G37" s="28">
        <f t="shared" ref="G37" si="12">G38</f>
        <v>79.3</v>
      </c>
    </row>
    <row r="38" spans="1:7">
      <c r="A38" s="54" t="s">
        <v>24</v>
      </c>
      <c r="B38" s="54" t="s">
        <v>50</v>
      </c>
      <c r="C38" s="54">
        <v>9990225000</v>
      </c>
      <c r="D38" s="54">
        <v>850</v>
      </c>
      <c r="E38" s="55" t="s">
        <v>119</v>
      </c>
      <c r="F38" s="28">
        <f>36+6.6+39.7-3</f>
        <v>79.300000000000011</v>
      </c>
      <c r="G38" s="28">
        <v>79.3</v>
      </c>
    </row>
    <row r="39" spans="1:7" ht="47.25">
      <c r="A39" s="54" t="s">
        <v>24</v>
      </c>
      <c r="B39" s="54" t="s">
        <v>50</v>
      </c>
      <c r="C39" s="54">
        <v>9990226000</v>
      </c>
      <c r="D39" s="54"/>
      <c r="E39" s="55" t="s">
        <v>191</v>
      </c>
      <c r="F39" s="28">
        <f>F40</f>
        <v>103</v>
      </c>
      <c r="G39" s="28">
        <f t="shared" ref="G39:G40" si="13">G40</f>
        <v>103</v>
      </c>
    </row>
    <row r="40" spans="1:7" ht="63">
      <c r="A40" s="54" t="s">
        <v>24</v>
      </c>
      <c r="B40" s="54" t="s">
        <v>50</v>
      </c>
      <c r="C40" s="54">
        <v>9990226000</v>
      </c>
      <c r="D40" s="54" t="s">
        <v>74</v>
      </c>
      <c r="E40" s="55" t="s">
        <v>2</v>
      </c>
      <c r="F40" s="28">
        <f>F41</f>
        <v>103</v>
      </c>
      <c r="G40" s="28">
        <f t="shared" si="13"/>
        <v>103</v>
      </c>
    </row>
    <row r="41" spans="1:7" ht="33.6" customHeight="1">
      <c r="A41" s="54" t="s">
        <v>24</v>
      </c>
      <c r="B41" s="54" t="s">
        <v>50</v>
      </c>
      <c r="C41" s="54">
        <v>9990226000</v>
      </c>
      <c r="D41" s="54">
        <v>120</v>
      </c>
      <c r="E41" s="55" t="s">
        <v>443</v>
      </c>
      <c r="F41" s="28">
        <f>75+28</f>
        <v>103</v>
      </c>
      <c r="G41" s="28">
        <v>103</v>
      </c>
    </row>
    <row r="42" spans="1:7">
      <c r="A42" s="54" t="s">
        <v>24</v>
      </c>
      <c r="B42" s="10" t="s">
        <v>200</v>
      </c>
      <c r="C42" s="11"/>
      <c r="D42" s="14"/>
      <c r="E42" s="9" t="s">
        <v>201</v>
      </c>
      <c r="F42" s="28">
        <f>F43</f>
        <v>145</v>
      </c>
      <c r="G42" s="28">
        <f t="shared" ref="G42:G46" si="14">G43</f>
        <v>18.7</v>
      </c>
    </row>
    <row r="43" spans="1:7">
      <c r="A43" s="54" t="s">
        <v>24</v>
      </c>
      <c r="B43" s="10" t="s">
        <v>200</v>
      </c>
      <c r="C43" s="54">
        <v>9900000000</v>
      </c>
      <c r="D43" s="54"/>
      <c r="E43" s="55" t="s">
        <v>124</v>
      </c>
      <c r="F43" s="28">
        <f>F44</f>
        <v>145</v>
      </c>
      <c r="G43" s="28">
        <f t="shared" si="14"/>
        <v>18.7</v>
      </c>
    </row>
    <row r="44" spans="1:7" ht="31.5">
      <c r="A44" s="54" t="s">
        <v>24</v>
      </c>
      <c r="B44" s="10" t="s">
        <v>200</v>
      </c>
      <c r="C44" s="54">
        <v>9930000000</v>
      </c>
      <c r="D44" s="54"/>
      <c r="E44" s="55" t="s">
        <v>202</v>
      </c>
      <c r="F44" s="28">
        <f>F45</f>
        <v>145</v>
      </c>
      <c r="G44" s="28">
        <f t="shared" si="14"/>
        <v>18.7</v>
      </c>
    </row>
    <row r="45" spans="1:7" ht="47.25">
      <c r="A45" s="54" t="s">
        <v>24</v>
      </c>
      <c r="B45" s="10" t="s">
        <v>200</v>
      </c>
      <c r="C45" s="54">
        <v>9930051200</v>
      </c>
      <c r="D45" s="54"/>
      <c r="E45" s="55" t="s">
        <v>203</v>
      </c>
      <c r="F45" s="28">
        <f>F46</f>
        <v>145</v>
      </c>
      <c r="G45" s="28">
        <f t="shared" si="14"/>
        <v>18.7</v>
      </c>
    </row>
    <row r="46" spans="1:7" ht="31.5">
      <c r="A46" s="54" t="s">
        <v>24</v>
      </c>
      <c r="B46" s="10" t="s">
        <v>200</v>
      </c>
      <c r="C46" s="54">
        <v>9930051200</v>
      </c>
      <c r="D46" s="54" t="s">
        <v>75</v>
      </c>
      <c r="E46" s="55" t="s">
        <v>107</v>
      </c>
      <c r="F46" s="28">
        <f>F47</f>
        <v>145</v>
      </c>
      <c r="G46" s="28">
        <f t="shared" si="14"/>
        <v>18.7</v>
      </c>
    </row>
    <row r="47" spans="1:7" ht="31.5" customHeight="1">
      <c r="A47" s="54" t="s">
        <v>24</v>
      </c>
      <c r="B47" s="10" t="s">
        <v>200</v>
      </c>
      <c r="C47" s="54">
        <v>9930051200</v>
      </c>
      <c r="D47" s="54">
        <v>240</v>
      </c>
      <c r="E47" s="55" t="s">
        <v>441</v>
      </c>
      <c r="F47" s="28">
        <v>145</v>
      </c>
      <c r="G47" s="28">
        <v>18.7</v>
      </c>
    </row>
    <row r="48" spans="1:7">
      <c r="A48" s="54" t="s">
        <v>24</v>
      </c>
      <c r="B48" s="29" t="s">
        <v>291</v>
      </c>
      <c r="C48" s="54"/>
      <c r="D48" s="54"/>
      <c r="E48" s="50" t="s">
        <v>293</v>
      </c>
      <c r="F48" s="28">
        <f t="shared" ref="F48:F53" si="15">F49</f>
        <v>88.6</v>
      </c>
      <c r="G48" s="28">
        <f t="shared" ref="G48:G53" si="16">G49</f>
        <v>88.6</v>
      </c>
    </row>
    <row r="49" spans="1:7" ht="47.25">
      <c r="A49" s="54" t="s">
        <v>24</v>
      </c>
      <c r="B49" s="10" t="s">
        <v>291</v>
      </c>
      <c r="C49" s="56">
        <v>1200000000</v>
      </c>
      <c r="D49" s="54"/>
      <c r="E49" s="55" t="s">
        <v>231</v>
      </c>
      <c r="F49" s="28">
        <f t="shared" si="15"/>
        <v>88.6</v>
      </c>
      <c r="G49" s="28">
        <f t="shared" si="16"/>
        <v>88.6</v>
      </c>
    </row>
    <row r="50" spans="1:7" ht="31.5">
      <c r="A50" s="54" t="s">
        <v>24</v>
      </c>
      <c r="B50" s="10" t="s">
        <v>291</v>
      </c>
      <c r="C50" s="54">
        <v>1240000000</v>
      </c>
      <c r="D50" s="54"/>
      <c r="E50" s="55" t="s">
        <v>162</v>
      </c>
      <c r="F50" s="28">
        <f t="shared" si="15"/>
        <v>88.6</v>
      </c>
      <c r="G50" s="28">
        <f t="shared" si="16"/>
        <v>88.6</v>
      </c>
    </row>
    <row r="51" spans="1:7" ht="36.6" customHeight="1">
      <c r="A51" s="54" t="s">
        <v>24</v>
      </c>
      <c r="B51" s="29" t="s">
        <v>291</v>
      </c>
      <c r="C51" s="54">
        <v>1240500000</v>
      </c>
      <c r="D51" s="54"/>
      <c r="E51" s="55" t="s">
        <v>163</v>
      </c>
      <c r="F51" s="28">
        <f t="shared" si="15"/>
        <v>88.6</v>
      </c>
      <c r="G51" s="28">
        <f t="shared" si="16"/>
        <v>88.6</v>
      </c>
    </row>
    <row r="52" spans="1:7" ht="31.5">
      <c r="A52" s="54" t="s">
        <v>24</v>
      </c>
      <c r="B52" s="10" t="s">
        <v>291</v>
      </c>
      <c r="C52" s="54">
        <v>1240520410</v>
      </c>
      <c r="D52" s="54"/>
      <c r="E52" s="55" t="s">
        <v>272</v>
      </c>
      <c r="F52" s="28">
        <f t="shared" si="15"/>
        <v>88.6</v>
      </c>
      <c r="G52" s="28">
        <f t="shared" si="16"/>
        <v>88.6</v>
      </c>
    </row>
    <row r="53" spans="1:7">
      <c r="A53" s="54" t="s">
        <v>24</v>
      </c>
      <c r="B53" s="10" t="s">
        <v>291</v>
      </c>
      <c r="C53" s="54">
        <v>1240520410</v>
      </c>
      <c r="D53" s="54" t="s">
        <v>76</v>
      </c>
      <c r="E53" s="55" t="s">
        <v>77</v>
      </c>
      <c r="F53" s="28">
        <f t="shared" si="15"/>
        <v>88.6</v>
      </c>
      <c r="G53" s="28">
        <f t="shared" si="16"/>
        <v>88.6</v>
      </c>
    </row>
    <row r="54" spans="1:7" ht="34.15" customHeight="1">
      <c r="A54" s="54" t="s">
        <v>24</v>
      </c>
      <c r="B54" s="10" t="s">
        <v>291</v>
      </c>
      <c r="C54" s="54">
        <v>1240520410</v>
      </c>
      <c r="D54" s="54">
        <v>860</v>
      </c>
      <c r="E54" s="55" t="s">
        <v>444</v>
      </c>
      <c r="F54" s="28">
        <v>88.6</v>
      </c>
      <c r="G54" s="28">
        <v>88.6</v>
      </c>
    </row>
    <row r="55" spans="1:7">
      <c r="A55" s="54" t="s">
        <v>24</v>
      </c>
      <c r="B55" s="54" t="s">
        <v>66</v>
      </c>
      <c r="C55" s="54" t="s">
        <v>72</v>
      </c>
      <c r="D55" s="54" t="s">
        <v>72</v>
      </c>
      <c r="E55" s="55" t="s">
        <v>28</v>
      </c>
      <c r="F55" s="28">
        <f>F56+F71+F100+F77</f>
        <v>21800.399999999991</v>
      </c>
      <c r="G55" s="28">
        <f>G56+G71+G100+G77</f>
        <v>21625.999999999993</v>
      </c>
    </row>
    <row r="56" spans="1:7" ht="47.25">
      <c r="A56" s="54" t="s">
        <v>24</v>
      </c>
      <c r="B56" s="54" t="s">
        <v>66</v>
      </c>
      <c r="C56" s="56">
        <v>1200000000</v>
      </c>
      <c r="D56" s="54"/>
      <c r="E56" s="55" t="s">
        <v>231</v>
      </c>
      <c r="F56" s="28">
        <f>F57</f>
        <v>692.2</v>
      </c>
      <c r="G56" s="28">
        <f t="shared" ref="G56" si="17">G57</f>
        <v>692.2</v>
      </c>
    </row>
    <row r="57" spans="1:7" ht="31.5">
      <c r="A57" s="54" t="s">
        <v>24</v>
      </c>
      <c r="B57" s="54" t="s">
        <v>66</v>
      </c>
      <c r="C57" s="54">
        <v>1240000000</v>
      </c>
      <c r="D57" s="54"/>
      <c r="E57" s="55" t="s">
        <v>162</v>
      </c>
      <c r="F57" s="28">
        <f>F58+F64</f>
        <v>692.2</v>
      </c>
      <c r="G57" s="28">
        <f t="shared" ref="G57" si="18">G58+G64</f>
        <v>692.2</v>
      </c>
    </row>
    <row r="58" spans="1:7" ht="31.5">
      <c r="A58" s="54" t="s">
        <v>24</v>
      </c>
      <c r="B58" s="54" t="s">
        <v>66</v>
      </c>
      <c r="C58" s="54">
        <v>1240200000</v>
      </c>
      <c r="D58" s="54"/>
      <c r="E58" s="55" t="s">
        <v>182</v>
      </c>
      <c r="F58" s="28">
        <f>F59</f>
        <v>59.699999999999996</v>
      </c>
      <c r="G58" s="28">
        <f t="shared" ref="G58" si="19">G59</f>
        <v>59.7</v>
      </c>
    </row>
    <row r="59" spans="1:7">
      <c r="A59" s="54" t="s">
        <v>24</v>
      </c>
      <c r="B59" s="54" t="s">
        <v>66</v>
      </c>
      <c r="C59" s="54">
        <v>1240220340</v>
      </c>
      <c r="D59" s="54"/>
      <c r="E59" s="55" t="s">
        <v>193</v>
      </c>
      <c r="F59" s="28">
        <f>F60+F62</f>
        <v>59.699999999999996</v>
      </c>
      <c r="G59" s="28">
        <f t="shared" ref="G59" si="20">G60+G62</f>
        <v>59.7</v>
      </c>
    </row>
    <row r="60" spans="1:7" ht="31.5">
      <c r="A60" s="54" t="s">
        <v>24</v>
      </c>
      <c r="B60" s="54" t="s">
        <v>66</v>
      </c>
      <c r="C60" s="54">
        <v>1240220340</v>
      </c>
      <c r="D60" s="56" t="s">
        <v>75</v>
      </c>
      <c r="E60" s="55" t="s">
        <v>107</v>
      </c>
      <c r="F60" s="28">
        <f>F61</f>
        <v>44.699999999999996</v>
      </c>
      <c r="G60" s="28">
        <f t="shared" ref="G60" si="21">G61</f>
        <v>44.7</v>
      </c>
    </row>
    <row r="61" spans="1:7" ht="36" customHeight="1">
      <c r="A61" s="54" t="s">
        <v>24</v>
      </c>
      <c r="B61" s="54" t="s">
        <v>66</v>
      </c>
      <c r="C61" s="54">
        <v>1240220340</v>
      </c>
      <c r="D61" s="54">
        <v>240</v>
      </c>
      <c r="E61" s="178" t="s">
        <v>441</v>
      </c>
      <c r="F61" s="28">
        <f>47.4-2.7</f>
        <v>44.699999999999996</v>
      </c>
      <c r="G61" s="28">
        <v>44.7</v>
      </c>
    </row>
    <row r="62" spans="1:7">
      <c r="A62" s="54" t="s">
        <v>24</v>
      </c>
      <c r="B62" s="54" t="s">
        <v>66</v>
      </c>
      <c r="C62" s="54">
        <v>1240220340</v>
      </c>
      <c r="D62" s="56" t="s">
        <v>79</v>
      </c>
      <c r="E62" s="55" t="s">
        <v>80</v>
      </c>
      <c r="F62" s="28">
        <f>F63</f>
        <v>15</v>
      </c>
      <c r="G62" s="28">
        <f t="shared" ref="G62" si="22">G63</f>
        <v>15</v>
      </c>
    </row>
    <row r="63" spans="1:7">
      <c r="A63" s="54" t="s">
        <v>24</v>
      </c>
      <c r="B63" s="54" t="s">
        <v>66</v>
      </c>
      <c r="C63" s="54">
        <v>1240220340</v>
      </c>
      <c r="D63" s="54">
        <v>350</v>
      </c>
      <c r="E63" s="22" t="s">
        <v>194</v>
      </c>
      <c r="F63" s="28">
        <v>15</v>
      </c>
      <c r="G63" s="28">
        <v>15</v>
      </c>
    </row>
    <row r="64" spans="1:7" ht="31.5">
      <c r="A64" s="54" t="s">
        <v>24</v>
      </c>
      <c r="B64" s="54" t="s">
        <v>66</v>
      </c>
      <c r="C64" s="54">
        <v>1240500000</v>
      </c>
      <c r="D64" s="54"/>
      <c r="E64" s="55" t="s">
        <v>163</v>
      </c>
      <c r="F64" s="28">
        <f>F65+F68</f>
        <v>632.5</v>
      </c>
      <c r="G64" s="28">
        <f t="shared" ref="G64" si="23">G65+G68</f>
        <v>632.5</v>
      </c>
    </row>
    <row r="65" spans="1:7" ht="31.5">
      <c r="A65" s="54" t="s">
        <v>24</v>
      </c>
      <c r="B65" s="54" t="s">
        <v>66</v>
      </c>
      <c r="C65" s="54">
        <v>1240520410</v>
      </c>
      <c r="D65" s="54"/>
      <c r="E65" s="147" t="s">
        <v>272</v>
      </c>
      <c r="F65" s="28">
        <f>F66</f>
        <v>117.10000000000002</v>
      </c>
      <c r="G65" s="28">
        <f t="shared" ref="G65:G66" si="24">G66</f>
        <v>117.1</v>
      </c>
    </row>
    <row r="66" spans="1:7">
      <c r="A66" s="54" t="s">
        <v>24</v>
      </c>
      <c r="B66" s="54" t="s">
        <v>66</v>
      </c>
      <c r="C66" s="54">
        <v>1240520410</v>
      </c>
      <c r="D66" s="54" t="s">
        <v>76</v>
      </c>
      <c r="E66" s="55" t="s">
        <v>77</v>
      </c>
      <c r="F66" s="28">
        <f>F67</f>
        <v>117.10000000000002</v>
      </c>
      <c r="G66" s="28">
        <f t="shared" si="24"/>
        <v>117.1</v>
      </c>
    </row>
    <row r="67" spans="1:7">
      <c r="A67" s="54" t="s">
        <v>24</v>
      </c>
      <c r="B67" s="54" t="s">
        <v>66</v>
      </c>
      <c r="C67" s="54">
        <v>1240520410</v>
      </c>
      <c r="D67" s="54">
        <v>850</v>
      </c>
      <c r="E67" s="55" t="s">
        <v>119</v>
      </c>
      <c r="F67" s="28">
        <f>193.3-88.6+24-11.6</f>
        <v>117.10000000000002</v>
      </c>
      <c r="G67" s="28">
        <v>117.1</v>
      </c>
    </row>
    <row r="68" spans="1:7" ht="31.5">
      <c r="A68" s="54" t="s">
        <v>24</v>
      </c>
      <c r="B68" s="54" t="s">
        <v>66</v>
      </c>
      <c r="C68" s="54">
        <v>1240520460</v>
      </c>
      <c r="D68" s="54"/>
      <c r="E68" s="55" t="s">
        <v>296</v>
      </c>
      <c r="F68" s="28">
        <f>F69</f>
        <v>515.4</v>
      </c>
      <c r="G68" s="28">
        <f t="shared" ref="G68:G69" si="25">G69</f>
        <v>515.4</v>
      </c>
    </row>
    <row r="69" spans="1:7" ht="31.5">
      <c r="A69" s="54" t="s">
        <v>24</v>
      </c>
      <c r="B69" s="54" t="s">
        <v>66</v>
      </c>
      <c r="C69" s="54">
        <v>1240520460</v>
      </c>
      <c r="D69" s="56" t="s">
        <v>75</v>
      </c>
      <c r="E69" s="55" t="s">
        <v>107</v>
      </c>
      <c r="F69" s="28">
        <f>F70</f>
        <v>515.4</v>
      </c>
      <c r="G69" s="28">
        <f t="shared" si="25"/>
        <v>515.4</v>
      </c>
    </row>
    <row r="70" spans="1:7" ht="33" customHeight="1">
      <c r="A70" s="54" t="s">
        <v>24</v>
      </c>
      <c r="B70" s="54" t="s">
        <v>66</v>
      </c>
      <c r="C70" s="54">
        <v>1240520460</v>
      </c>
      <c r="D70" s="54">
        <v>240</v>
      </c>
      <c r="E70" s="178" t="s">
        <v>441</v>
      </c>
      <c r="F70" s="28">
        <v>515.4</v>
      </c>
      <c r="G70" s="28">
        <v>515.4</v>
      </c>
    </row>
    <row r="71" spans="1:7" ht="31.5">
      <c r="A71" s="54" t="s">
        <v>24</v>
      </c>
      <c r="B71" s="54" t="s">
        <v>66</v>
      </c>
      <c r="C71" s="56">
        <v>1500000000</v>
      </c>
      <c r="D71" s="54"/>
      <c r="E71" s="55" t="s">
        <v>232</v>
      </c>
      <c r="F71" s="28">
        <f>F72</f>
        <v>23.400000000000006</v>
      </c>
      <c r="G71" s="28">
        <f t="shared" ref="G71:G75" si="26">G72</f>
        <v>23.4</v>
      </c>
    </row>
    <row r="72" spans="1:7">
      <c r="A72" s="54" t="s">
        <v>24</v>
      </c>
      <c r="B72" s="54" t="s">
        <v>66</v>
      </c>
      <c r="C72" s="54">
        <v>1510000000</v>
      </c>
      <c r="D72" s="54"/>
      <c r="E72" s="55" t="s">
        <v>196</v>
      </c>
      <c r="F72" s="28">
        <f>F73</f>
        <v>23.400000000000006</v>
      </c>
      <c r="G72" s="28">
        <f t="shared" si="26"/>
        <v>23.4</v>
      </c>
    </row>
    <row r="73" spans="1:7" ht="47.25">
      <c r="A73" s="54" t="s">
        <v>24</v>
      </c>
      <c r="B73" s="54" t="s">
        <v>66</v>
      </c>
      <c r="C73" s="54">
        <v>1510200000</v>
      </c>
      <c r="D73" s="54"/>
      <c r="E73" s="55" t="s">
        <v>233</v>
      </c>
      <c r="F73" s="28">
        <f>F74</f>
        <v>23.400000000000006</v>
      </c>
      <c r="G73" s="28">
        <f t="shared" si="26"/>
        <v>23.4</v>
      </c>
    </row>
    <row r="74" spans="1:7" ht="31.5">
      <c r="A74" s="54" t="s">
        <v>24</v>
      </c>
      <c r="B74" s="54" t="s">
        <v>66</v>
      </c>
      <c r="C74" s="54">
        <v>1510220170</v>
      </c>
      <c r="D74" s="54"/>
      <c r="E74" s="55" t="s">
        <v>234</v>
      </c>
      <c r="F74" s="28">
        <f>F75</f>
        <v>23.400000000000006</v>
      </c>
      <c r="G74" s="28">
        <f t="shared" si="26"/>
        <v>23.4</v>
      </c>
    </row>
    <row r="75" spans="1:7">
      <c r="A75" s="54" t="s">
        <v>24</v>
      </c>
      <c r="B75" s="54" t="s">
        <v>66</v>
      </c>
      <c r="C75" s="54">
        <v>1510220170</v>
      </c>
      <c r="D75" s="56" t="s">
        <v>79</v>
      </c>
      <c r="E75" s="55" t="s">
        <v>80</v>
      </c>
      <c r="F75" s="28">
        <f>F76</f>
        <v>23.400000000000006</v>
      </c>
      <c r="G75" s="28">
        <f t="shared" si="26"/>
        <v>23.4</v>
      </c>
    </row>
    <row r="76" spans="1:7">
      <c r="A76" s="54" t="s">
        <v>24</v>
      </c>
      <c r="B76" s="54" t="s">
        <v>66</v>
      </c>
      <c r="C76" s="54">
        <v>1510220170</v>
      </c>
      <c r="D76" s="1" t="s">
        <v>198</v>
      </c>
      <c r="E76" s="22" t="s">
        <v>197</v>
      </c>
      <c r="F76" s="28">
        <f>109.2-85.8</f>
        <v>23.400000000000006</v>
      </c>
      <c r="G76" s="28">
        <v>23.4</v>
      </c>
    </row>
    <row r="77" spans="1:7" ht="47.25">
      <c r="A77" s="54" t="s">
        <v>24</v>
      </c>
      <c r="B77" s="54" t="s">
        <v>66</v>
      </c>
      <c r="C77" s="56">
        <v>1600000000</v>
      </c>
      <c r="D77" s="56"/>
      <c r="E77" s="85" t="s">
        <v>133</v>
      </c>
      <c r="F77" s="28">
        <f>F95+F78+F83</f>
        <v>1650.1999999999998</v>
      </c>
      <c r="G77" s="28">
        <f>G95+G78+G83</f>
        <v>1610.9</v>
      </c>
    </row>
    <row r="78" spans="1:7" ht="31.5">
      <c r="A78" s="54" t="s">
        <v>24</v>
      </c>
      <c r="B78" s="56" t="s">
        <v>66</v>
      </c>
      <c r="C78" s="56">
        <v>1620000000</v>
      </c>
      <c r="D78" s="56"/>
      <c r="E78" s="55" t="s">
        <v>126</v>
      </c>
      <c r="F78" s="28">
        <f>F79</f>
        <v>74.5</v>
      </c>
      <c r="G78" s="28">
        <f>G79</f>
        <v>70.900000000000006</v>
      </c>
    </row>
    <row r="79" spans="1:7" ht="34.15" customHeight="1">
      <c r="A79" s="191" t="s">
        <v>24</v>
      </c>
      <c r="B79" s="193" t="s">
        <v>66</v>
      </c>
      <c r="C79" s="193">
        <v>1620300000</v>
      </c>
      <c r="D79" s="193"/>
      <c r="E79" s="192" t="s">
        <v>357</v>
      </c>
      <c r="F79" s="28">
        <f>F80</f>
        <v>74.5</v>
      </c>
      <c r="G79" s="28">
        <f t="shared" ref="G79:G81" si="27">G80</f>
        <v>70.900000000000006</v>
      </c>
    </row>
    <row r="80" spans="1:7" ht="34.15" customHeight="1">
      <c r="A80" s="191" t="s">
        <v>24</v>
      </c>
      <c r="B80" s="193" t="s">
        <v>66</v>
      </c>
      <c r="C80" s="193">
        <v>1620320030</v>
      </c>
      <c r="D80" s="191"/>
      <c r="E80" s="192" t="s">
        <v>358</v>
      </c>
      <c r="F80" s="28">
        <f>F81</f>
        <v>74.5</v>
      </c>
      <c r="G80" s="28">
        <f t="shared" si="27"/>
        <v>70.900000000000006</v>
      </c>
    </row>
    <row r="81" spans="1:7" ht="30.75" customHeight="1">
      <c r="A81" s="191" t="s">
        <v>24</v>
      </c>
      <c r="B81" s="193" t="s">
        <v>66</v>
      </c>
      <c r="C81" s="193">
        <v>1620320030</v>
      </c>
      <c r="D81" s="193" t="s">
        <v>75</v>
      </c>
      <c r="E81" s="192" t="s">
        <v>107</v>
      </c>
      <c r="F81" s="28">
        <f>F82</f>
        <v>74.5</v>
      </c>
      <c r="G81" s="28">
        <f t="shared" si="27"/>
        <v>70.900000000000006</v>
      </c>
    </row>
    <row r="82" spans="1:7" ht="34.15" customHeight="1">
      <c r="A82" s="191" t="s">
        <v>24</v>
      </c>
      <c r="B82" s="193" t="s">
        <v>66</v>
      </c>
      <c r="C82" s="193">
        <v>1620320030</v>
      </c>
      <c r="D82" s="191">
        <v>240</v>
      </c>
      <c r="E82" s="192" t="s">
        <v>441</v>
      </c>
      <c r="F82" s="28">
        <v>74.5</v>
      </c>
      <c r="G82" s="28">
        <v>70.900000000000006</v>
      </c>
    </row>
    <row r="83" spans="1:7" ht="47.25">
      <c r="A83" s="191" t="s">
        <v>24</v>
      </c>
      <c r="B83" s="191" t="s">
        <v>66</v>
      </c>
      <c r="C83" s="193">
        <v>1630000000</v>
      </c>
      <c r="D83" s="191"/>
      <c r="E83" s="192" t="s">
        <v>274</v>
      </c>
      <c r="F83" s="28">
        <f>F84+F91</f>
        <v>1549.6999999999998</v>
      </c>
      <c r="G83" s="28">
        <f>G84+G91</f>
        <v>1514</v>
      </c>
    </row>
    <row r="84" spans="1:7" ht="47.25">
      <c r="A84" s="191" t="s">
        <v>24</v>
      </c>
      <c r="B84" s="193" t="s">
        <v>66</v>
      </c>
      <c r="C84" s="191">
        <v>1630100000</v>
      </c>
      <c r="D84" s="191"/>
      <c r="E84" s="192" t="s">
        <v>275</v>
      </c>
      <c r="F84" s="28">
        <f>F85+F88</f>
        <v>1404.6</v>
      </c>
      <c r="G84" s="28">
        <f t="shared" ref="G84" si="28">G85+G88</f>
        <v>1368.9</v>
      </c>
    </row>
    <row r="85" spans="1:7" ht="47.25">
      <c r="A85" s="191" t="s">
        <v>24</v>
      </c>
      <c r="B85" s="191" t="s">
        <v>66</v>
      </c>
      <c r="C85" s="191">
        <v>1630120180</v>
      </c>
      <c r="D85" s="191"/>
      <c r="E85" s="192" t="s">
        <v>276</v>
      </c>
      <c r="F85" s="28">
        <f>F86</f>
        <v>804.1</v>
      </c>
      <c r="G85" s="28">
        <f t="shared" ref="G85:G86" si="29">G86</f>
        <v>768.4</v>
      </c>
    </row>
    <row r="86" spans="1:7" ht="31.5">
      <c r="A86" s="191" t="s">
        <v>24</v>
      </c>
      <c r="B86" s="193" t="s">
        <v>66</v>
      </c>
      <c r="C86" s="191">
        <v>1630120180</v>
      </c>
      <c r="D86" s="191" t="s">
        <v>75</v>
      </c>
      <c r="E86" s="192" t="s">
        <v>107</v>
      </c>
      <c r="F86" s="28">
        <f>F87</f>
        <v>804.1</v>
      </c>
      <c r="G86" s="28">
        <f t="shared" si="29"/>
        <v>768.4</v>
      </c>
    </row>
    <row r="87" spans="1:7" ht="31.5">
      <c r="A87" s="191" t="s">
        <v>24</v>
      </c>
      <c r="B87" s="193" t="s">
        <v>66</v>
      </c>
      <c r="C87" s="191">
        <v>1630120180</v>
      </c>
      <c r="D87" s="191">
        <v>240</v>
      </c>
      <c r="E87" s="192" t="s">
        <v>441</v>
      </c>
      <c r="F87" s="28">
        <f>605-66+325.9-54.5-6.3</f>
        <v>804.1</v>
      </c>
      <c r="G87" s="28">
        <v>768.4</v>
      </c>
    </row>
    <row r="88" spans="1:7" ht="47.25">
      <c r="A88" s="191" t="s">
        <v>24</v>
      </c>
      <c r="B88" s="191" t="s">
        <v>66</v>
      </c>
      <c r="C88" s="191">
        <v>1630120520</v>
      </c>
      <c r="D88" s="191"/>
      <c r="E88" s="192" t="s">
        <v>286</v>
      </c>
      <c r="F88" s="28">
        <f>F89</f>
        <v>600.5</v>
      </c>
      <c r="G88" s="28">
        <f t="shared" ref="G88:G89" si="30">G89</f>
        <v>600.5</v>
      </c>
    </row>
    <row r="89" spans="1:7" ht="31.5">
      <c r="A89" s="191" t="s">
        <v>24</v>
      </c>
      <c r="B89" s="193" t="s">
        <v>66</v>
      </c>
      <c r="C89" s="191">
        <v>1630120520</v>
      </c>
      <c r="D89" s="191" t="s">
        <v>75</v>
      </c>
      <c r="E89" s="192" t="s">
        <v>107</v>
      </c>
      <c r="F89" s="28">
        <f>F90</f>
        <v>600.5</v>
      </c>
      <c r="G89" s="28">
        <f t="shared" si="30"/>
        <v>600.5</v>
      </c>
    </row>
    <row r="90" spans="1:7" ht="31.5">
      <c r="A90" s="191" t="s">
        <v>24</v>
      </c>
      <c r="B90" s="193" t="s">
        <v>66</v>
      </c>
      <c r="C90" s="191">
        <v>1630120520</v>
      </c>
      <c r="D90" s="191">
        <v>240</v>
      </c>
      <c r="E90" s="192" t="s">
        <v>441</v>
      </c>
      <c r="F90" s="28">
        <f>562-54.5+54.5+38.5</f>
        <v>600.5</v>
      </c>
      <c r="G90" s="28">
        <v>600.5</v>
      </c>
    </row>
    <row r="91" spans="1:7" ht="47.25">
      <c r="A91" s="191" t="s">
        <v>24</v>
      </c>
      <c r="B91" s="191" t="s">
        <v>66</v>
      </c>
      <c r="C91" s="191">
        <v>1630200000</v>
      </c>
      <c r="D91" s="191"/>
      <c r="E91" s="192" t="s">
        <v>277</v>
      </c>
      <c r="F91" s="28">
        <f>F92</f>
        <v>145.1</v>
      </c>
      <c r="G91" s="28">
        <f t="shared" ref="G91" si="31">G92</f>
        <v>145.1</v>
      </c>
    </row>
    <row r="92" spans="1:7" ht="18" customHeight="1">
      <c r="A92" s="54" t="s">
        <v>24</v>
      </c>
      <c r="B92" s="56" t="s">
        <v>66</v>
      </c>
      <c r="C92" s="54">
        <v>1630220530</v>
      </c>
      <c r="D92" s="54"/>
      <c r="E92" s="55" t="s">
        <v>278</v>
      </c>
      <c r="F92" s="28">
        <f>F93</f>
        <v>145.1</v>
      </c>
      <c r="G92" s="28">
        <f t="shared" ref="G92:G93" si="32">G93</f>
        <v>145.1</v>
      </c>
    </row>
    <row r="93" spans="1:7" ht="31.5">
      <c r="A93" s="54" t="s">
        <v>24</v>
      </c>
      <c r="B93" s="56" t="s">
        <v>66</v>
      </c>
      <c r="C93" s="54">
        <v>1630220530</v>
      </c>
      <c r="D93" s="54" t="s">
        <v>75</v>
      </c>
      <c r="E93" s="55" t="s">
        <v>107</v>
      </c>
      <c r="F93" s="28">
        <f>F94</f>
        <v>145.1</v>
      </c>
      <c r="G93" s="28">
        <f t="shared" si="32"/>
        <v>145.1</v>
      </c>
    </row>
    <row r="94" spans="1:7" ht="36" customHeight="1">
      <c r="A94" s="54" t="s">
        <v>24</v>
      </c>
      <c r="B94" s="54" t="s">
        <v>66</v>
      </c>
      <c r="C94" s="54">
        <v>1630220530</v>
      </c>
      <c r="D94" s="54">
        <v>240</v>
      </c>
      <c r="E94" s="178" t="s">
        <v>441</v>
      </c>
      <c r="F94" s="28">
        <f>136+8+4.1-3</f>
        <v>145.1</v>
      </c>
      <c r="G94" s="28">
        <v>145.1</v>
      </c>
    </row>
    <row r="95" spans="1:7" ht="47.25">
      <c r="A95" s="54" t="s">
        <v>24</v>
      </c>
      <c r="B95" s="54" t="s">
        <v>66</v>
      </c>
      <c r="C95" s="56">
        <v>1640000000</v>
      </c>
      <c r="D95" s="1"/>
      <c r="E95" s="22" t="s">
        <v>267</v>
      </c>
      <c r="F95" s="28">
        <f>F96</f>
        <v>26</v>
      </c>
      <c r="G95" s="28">
        <f t="shared" ref="G95:G98" si="33">G96</f>
        <v>26</v>
      </c>
    </row>
    <row r="96" spans="1:7" ht="31.5">
      <c r="A96" s="54" t="s">
        <v>24</v>
      </c>
      <c r="B96" s="54" t="s">
        <v>66</v>
      </c>
      <c r="C96" s="54">
        <v>1640200000</v>
      </c>
      <c r="D96" s="1"/>
      <c r="E96" s="22" t="s">
        <v>270</v>
      </c>
      <c r="F96" s="28">
        <f>F97</f>
        <v>26</v>
      </c>
      <c r="G96" s="28">
        <f t="shared" si="33"/>
        <v>26</v>
      </c>
    </row>
    <row r="97" spans="1:7">
      <c r="A97" s="54" t="s">
        <v>24</v>
      </c>
      <c r="B97" s="54" t="s">
        <v>66</v>
      </c>
      <c r="C97" s="54">
        <v>1640220250</v>
      </c>
      <c r="D97" s="1"/>
      <c r="E97" s="22" t="s">
        <v>268</v>
      </c>
      <c r="F97" s="28">
        <f>F98</f>
        <v>26</v>
      </c>
      <c r="G97" s="28">
        <f t="shared" si="33"/>
        <v>26</v>
      </c>
    </row>
    <row r="98" spans="1:7" ht="31.5">
      <c r="A98" s="54" t="s">
        <v>24</v>
      </c>
      <c r="B98" s="54" t="s">
        <v>66</v>
      </c>
      <c r="C98" s="54">
        <v>1640220250</v>
      </c>
      <c r="D98" s="56" t="s">
        <v>75</v>
      </c>
      <c r="E98" s="55" t="s">
        <v>107</v>
      </c>
      <c r="F98" s="28">
        <f>F99</f>
        <v>26</v>
      </c>
      <c r="G98" s="28">
        <f t="shared" si="33"/>
        <v>26</v>
      </c>
    </row>
    <row r="99" spans="1:7" ht="32.450000000000003" customHeight="1">
      <c r="A99" s="54" t="s">
        <v>24</v>
      </c>
      <c r="B99" s="54" t="s">
        <v>66</v>
      </c>
      <c r="C99" s="54">
        <v>1640220250</v>
      </c>
      <c r="D99" s="54">
        <v>240</v>
      </c>
      <c r="E99" s="178" t="s">
        <v>441</v>
      </c>
      <c r="F99" s="28">
        <v>26</v>
      </c>
      <c r="G99" s="28">
        <v>26</v>
      </c>
    </row>
    <row r="100" spans="1:7">
      <c r="A100" s="54" t="s">
        <v>24</v>
      </c>
      <c r="B100" s="54" t="s">
        <v>66</v>
      </c>
      <c r="C100" s="54">
        <v>9900000000</v>
      </c>
      <c r="D100" s="54"/>
      <c r="E100" s="55" t="s">
        <v>124</v>
      </c>
      <c r="F100" s="28">
        <f>F106+F101</f>
        <v>19434.599999999991</v>
      </c>
      <c r="G100" s="28">
        <f>G106+G101</f>
        <v>19299.499999999993</v>
      </c>
    </row>
    <row r="101" spans="1:7" ht="31.5">
      <c r="A101" s="88" t="s">
        <v>24</v>
      </c>
      <c r="B101" s="90" t="s">
        <v>66</v>
      </c>
      <c r="C101" s="88">
        <v>9930000000</v>
      </c>
      <c r="D101" s="88"/>
      <c r="E101" s="89" t="s">
        <v>202</v>
      </c>
      <c r="F101" s="28">
        <f>F102</f>
        <v>542.6</v>
      </c>
      <c r="G101" s="28">
        <f t="shared" ref="G101" si="34">G102</f>
        <v>542.6</v>
      </c>
    </row>
    <row r="102" spans="1:7" ht="31.5">
      <c r="A102" s="88" t="s">
        <v>24</v>
      </c>
      <c r="B102" s="90" t="s">
        <v>66</v>
      </c>
      <c r="C102" s="88">
        <v>9930020490</v>
      </c>
      <c r="D102" s="88"/>
      <c r="E102" s="89" t="s">
        <v>332</v>
      </c>
      <c r="F102" s="28">
        <f>F103</f>
        <v>542.6</v>
      </c>
      <c r="G102" s="28">
        <f t="shared" ref="G102" si="35">G103</f>
        <v>542.6</v>
      </c>
    </row>
    <row r="103" spans="1:7">
      <c r="A103" s="88" t="s">
        <v>24</v>
      </c>
      <c r="B103" s="90" t="s">
        <v>66</v>
      </c>
      <c r="C103" s="88">
        <v>9930020490</v>
      </c>
      <c r="D103" s="13" t="s">
        <v>76</v>
      </c>
      <c r="E103" s="71" t="s">
        <v>77</v>
      </c>
      <c r="F103" s="28">
        <f>F104+F105</f>
        <v>542.6</v>
      </c>
      <c r="G103" s="28">
        <f>G104+G105</f>
        <v>542.6</v>
      </c>
    </row>
    <row r="104" spans="1:7">
      <c r="A104" s="88" t="s">
        <v>24</v>
      </c>
      <c r="B104" s="90" t="s">
        <v>66</v>
      </c>
      <c r="C104" s="88">
        <v>9930020490</v>
      </c>
      <c r="D104" s="1" t="s">
        <v>333</v>
      </c>
      <c r="E104" s="22" t="s">
        <v>334</v>
      </c>
      <c r="F104" s="28">
        <f>502.6+40-10</f>
        <v>532.6</v>
      </c>
      <c r="G104" s="28">
        <v>532.6</v>
      </c>
    </row>
    <row r="105" spans="1:7">
      <c r="A105" s="191" t="s">
        <v>24</v>
      </c>
      <c r="B105" s="193" t="s">
        <v>66</v>
      </c>
      <c r="C105" s="191">
        <v>9930020490</v>
      </c>
      <c r="D105" s="1" t="s">
        <v>468</v>
      </c>
      <c r="E105" s="192" t="s">
        <v>119</v>
      </c>
      <c r="F105" s="28">
        <v>10</v>
      </c>
      <c r="G105" s="28">
        <v>10</v>
      </c>
    </row>
    <row r="106" spans="1:7" ht="31.5">
      <c r="A106" s="54" t="s">
        <v>24</v>
      </c>
      <c r="B106" s="54" t="s">
        <v>66</v>
      </c>
      <c r="C106" s="54">
        <v>9990000000</v>
      </c>
      <c r="D106" s="54"/>
      <c r="E106" s="55" t="s">
        <v>189</v>
      </c>
      <c r="F106" s="28">
        <f>F107+F119+F128+F131</f>
        <v>18891.999999999993</v>
      </c>
      <c r="G106" s="28">
        <f>G107+G119+G128+G131</f>
        <v>18756.899999999994</v>
      </c>
    </row>
    <row r="107" spans="1:7" ht="31.5">
      <c r="A107" s="54" t="s">
        <v>24</v>
      </c>
      <c r="B107" s="54" t="s">
        <v>66</v>
      </c>
      <c r="C107" s="54">
        <v>9990200000</v>
      </c>
      <c r="D107" s="30"/>
      <c r="E107" s="55" t="s">
        <v>138</v>
      </c>
      <c r="F107" s="28">
        <f>F116+F108+F113</f>
        <v>596.30000000000007</v>
      </c>
      <c r="G107" s="28">
        <f>G116+G108+G113</f>
        <v>596.30000000000007</v>
      </c>
    </row>
    <row r="108" spans="1:7" ht="64.5" customHeight="1">
      <c r="A108" s="54" t="s">
        <v>24</v>
      </c>
      <c r="B108" s="54" t="s">
        <v>66</v>
      </c>
      <c r="C108" s="54">
        <v>9990210540</v>
      </c>
      <c r="D108" s="54"/>
      <c r="E108" s="55" t="s">
        <v>199</v>
      </c>
      <c r="F108" s="28">
        <f>F109+F111</f>
        <v>264</v>
      </c>
      <c r="G108" s="28">
        <f>G109+G111</f>
        <v>264</v>
      </c>
    </row>
    <row r="109" spans="1:7" ht="63">
      <c r="A109" s="54" t="s">
        <v>24</v>
      </c>
      <c r="B109" s="54" t="s">
        <v>66</v>
      </c>
      <c r="C109" s="54">
        <v>9990210540</v>
      </c>
      <c r="D109" s="54" t="s">
        <v>74</v>
      </c>
      <c r="E109" s="55" t="s">
        <v>2</v>
      </c>
      <c r="F109" s="28">
        <f>F110</f>
        <v>256.3</v>
      </c>
      <c r="G109" s="28">
        <f>G110</f>
        <v>256.3</v>
      </c>
    </row>
    <row r="110" spans="1:7" ht="31.5">
      <c r="A110" s="54" t="s">
        <v>24</v>
      </c>
      <c r="B110" s="54" t="s">
        <v>66</v>
      </c>
      <c r="C110" s="54">
        <v>9990210540</v>
      </c>
      <c r="D110" s="54">
        <v>120</v>
      </c>
      <c r="E110" s="55" t="s">
        <v>443</v>
      </c>
      <c r="F110" s="28">
        <v>256.3</v>
      </c>
      <c r="G110" s="28">
        <v>256.3</v>
      </c>
    </row>
    <row r="111" spans="1:7" ht="31.5">
      <c r="A111" s="54" t="s">
        <v>24</v>
      </c>
      <c r="B111" s="54" t="s">
        <v>66</v>
      </c>
      <c r="C111" s="54">
        <v>9990210540</v>
      </c>
      <c r="D111" s="54" t="s">
        <v>75</v>
      </c>
      <c r="E111" s="55" t="s">
        <v>107</v>
      </c>
      <c r="F111" s="28">
        <f>F112</f>
        <v>7.7</v>
      </c>
      <c r="G111" s="28">
        <f t="shared" ref="G111" si="36">G112</f>
        <v>7.7</v>
      </c>
    </row>
    <row r="112" spans="1:7" ht="31.5">
      <c r="A112" s="54" t="s">
        <v>24</v>
      </c>
      <c r="B112" s="54" t="s">
        <v>66</v>
      </c>
      <c r="C112" s="54">
        <v>9990210540</v>
      </c>
      <c r="D112" s="54">
        <v>240</v>
      </c>
      <c r="E112" s="178" t="s">
        <v>441</v>
      </c>
      <c r="F112" s="28">
        <v>7.7</v>
      </c>
      <c r="G112" s="28">
        <v>7.7</v>
      </c>
    </row>
    <row r="113" spans="1:7" ht="78.75">
      <c r="A113" s="105" t="s">
        <v>24</v>
      </c>
      <c r="B113" s="105" t="s">
        <v>66</v>
      </c>
      <c r="C113" s="105">
        <v>9990210570</v>
      </c>
      <c r="D113" s="105"/>
      <c r="E113" s="106" t="s">
        <v>390</v>
      </c>
      <c r="F113" s="28">
        <f>F114</f>
        <v>2.6</v>
      </c>
      <c r="G113" s="28">
        <f t="shared" ref="G113:G114" si="37">G114</f>
        <v>2.6</v>
      </c>
    </row>
    <row r="114" spans="1:7" ht="63">
      <c r="A114" s="105" t="s">
        <v>24</v>
      </c>
      <c r="B114" s="105" t="s">
        <v>66</v>
      </c>
      <c r="C114" s="105">
        <v>9990210570</v>
      </c>
      <c r="D114" s="105" t="s">
        <v>74</v>
      </c>
      <c r="E114" s="106" t="s">
        <v>2</v>
      </c>
      <c r="F114" s="28">
        <f>F115</f>
        <v>2.6</v>
      </c>
      <c r="G114" s="28">
        <f t="shared" si="37"/>
        <v>2.6</v>
      </c>
    </row>
    <row r="115" spans="1:7" ht="31.5">
      <c r="A115" s="105" t="s">
        <v>24</v>
      </c>
      <c r="B115" s="105" t="s">
        <v>66</v>
      </c>
      <c r="C115" s="105">
        <v>9990210570</v>
      </c>
      <c r="D115" s="105">
        <v>120</v>
      </c>
      <c r="E115" s="106" t="s">
        <v>443</v>
      </c>
      <c r="F115" s="28">
        <v>2.6</v>
      </c>
      <c r="G115" s="28">
        <v>2.6</v>
      </c>
    </row>
    <row r="116" spans="1:7" ht="47.25">
      <c r="A116" s="54" t="s">
        <v>24</v>
      </c>
      <c r="B116" s="54" t="s">
        <v>66</v>
      </c>
      <c r="C116" s="54">
        <v>9990226000</v>
      </c>
      <c r="D116" s="54"/>
      <c r="E116" s="55" t="s">
        <v>191</v>
      </c>
      <c r="F116" s="28">
        <f>F117</f>
        <v>329.7</v>
      </c>
      <c r="G116" s="28">
        <f t="shared" ref="G116:G117" si="38">G117</f>
        <v>329.7</v>
      </c>
    </row>
    <row r="117" spans="1:7" ht="63">
      <c r="A117" s="54" t="s">
        <v>24</v>
      </c>
      <c r="B117" s="54" t="s">
        <v>66</v>
      </c>
      <c r="C117" s="54">
        <v>9990226000</v>
      </c>
      <c r="D117" s="54" t="s">
        <v>74</v>
      </c>
      <c r="E117" s="55" t="s">
        <v>2</v>
      </c>
      <c r="F117" s="28">
        <f>F118</f>
        <v>329.7</v>
      </c>
      <c r="G117" s="28">
        <f t="shared" si="38"/>
        <v>329.7</v>
      </c>
    </row>
    <row r="118" spans="1:7" ht="32.25" customHeight="1">
      <c r="A118" s="54" t="s">
        <v>24</v>
      </c>
      <c r="B118" s="54" t="s">
        <v>66</v>
      </c>
      <c r="C118" s="54">
        <v>9990226000</v>
      </c>
      <c r="D118" s="54">
        <v>120</v>
      </c>
      <c r="E118" s="178" t="s">
        <v>443</v>
      </c>
      <c r="F118" s="28">
        <f>68+265.9-4.2</f>
        <v>329.7</v>
      </c>
      <c r="G118" s="28">
        <v>329.7</v>
      </c>
    </row>
    <row r="119" spans="1:7" ht="31.5">
      <c r="A119" s="54" t="s">
        <v>24</v>
      </c>
      <c r="B119" s="54" t="s">
        <v>66</v>
      </c>
      <c r="C119" s="54">
        <v>9990300000</v>
      </c>
      <c r="D119" s="54"/>
      <c r="E119" s="125" t="s">
        <v>204</v>
      </c>
      <c r="F119" s="28">
        <f>F120+F122+F126+F124</f>
        <v>17967.799999999996</v>
      </c>
      <c r="G119" s="28">
        <f>G120+G122+G126+G124</f>
        <v>17832.699999999997</v>
      </c>
    </row>
    <row r="120" spans="1:7" ht="63">
      <c r="A120" s="54" t="s">
        <v>24</v>
      </c>
      <c r="B120" s="54" t="s">
        <v>66</v>
      </c>
      <c r="C120" s="54">
        <v>9990300000</v>
      </c>
      <c r="D120" s="54" t="s">
        <v>74</v>
      </c>
      <c r="E120" s="55" t="s">
        <v>2</v>
      </c>
      <c r="F120" s="28">
        <f>F121</f>
        <v>14485.899999999998</v>
      </c>
      <c r="G120" s="28">
        <f t="shared" ref="G120" si="39">G121</f>
        <v>14485.9</v>
      </c>
    </row>
    <row r="121" spans="1:7">
      <c r="A121" s="54" t="s">
        <v>24</v>
      </c>
      <c r="B121" s="54" t="s">
        <v>66</v>
      </c>
      <c r="C121" s="54">
        <v>9990300000</v>
      </c>
      <c r="D121" s="54">
        <v>110</v>
      </c>
      <c r="E121" s="22" t="s">
        <v>205</v>
      </c>
      <c r="F121" s="28">
        <f>17904.1-856.5+26.3+40-1913.9-28.1-656.2-29.8</f>
        <v>14485.899999999998</v>
      </c>
      <c r="G121" s="28">
        <v>14485.9</v>
      </c>
    </row>
    <row r="122" spans="1:7" ht="31.5">
      <c r="A122" s="54" t="s">
        <v>24</v>
      </c>
      <c r="B122" s="54" t="s">
        <v>66</v>
      </c>
      <c r="C122" s="54">
        <v>9990300000</v>
      </c>
      <c r="D122" s="54" t="s">
        <v>75</v>
      </c>
      <c r="E122" s="55" t="s">
        <v>107</v>
      </c>
      <c r="F122" s="28">
        <f>F123</f>
        <v>3437.7999999999993</v>
      </c>
      <c r="G122" s="28">
        <f t="shared" ref="G122" si="40">G123</f>
        <v>3302.7</v>
      </c>
    </row>
    <row r="123" spans="1:7" ht="32.450000000000003" customHeight="1">
      <c r="A123" s="54" t="s">
        <v>24</v>
      </c>
      <c r="B123" s="54" t="s">
        <v>66</v>
      </c>
      <c r="C123" s="54">
        <v>9990300000</v>
      </c>
      <c r="D123" s="54">
        <v>240</v>
      </c>
      <c r="E123" s="178" t="s">
        <v>441</v>
      </c>
      <c r="F123" s="28">
        <f>5943.9-65.3+1.4-30-26.3-40-15.5-795-101+13.1-1447.5</f>
        <v>3437.7999999999993</v>
      </c>
      <c r="G123" s="28">
        <v>3302.7</v>
      </c>
    </row>
    <row r="124" spans="1:7" ht="17.25" customHeight="1">
      <c r="A124" s="191" t="s">
        <v>24</v>
      </c>
      <c r="B124" s="191" t="s">
        <v>66</v>
      </c>
      <c r="C124" s="191">
        <v>9990300000</v>
      </c>
      <c r="D124" s="186">
        <v>300</v>
      </c>
      <c r="E124" s="192" t="s">
        <v>80</v>
      </c>
      <c r="F124" s="28">
        <f>F125</f>
        <v>15</v>
      </c>
      <c r="G124" s="28">
        <f t="shared" ref="G124" si="41">G125</f>
        <v>15</v>
      </c>
    </row>
    <row r="125" spans="1:7" ht="32.450000000000003" customHeight="1">
      <c r="A125" s="191" t="s">
        <v>24</v>
      </c>
      <c r="B125" s="191" t="s">
        <v>66</v>
      </c>
      <c r="C125" s="191">
        <v>9990300000</v>
      </c>
      <c r="D125" s="186">
        <v>320</v>
      </c>
      <c r="E125" s="192" t="s">
        <v>121</v>
      </c>
      <c r="F125" s="28">
        <v>15</v>
      </c>
      <c r="G125" s="28">
        <v>15</v>
      </c>
    </row>
    <row r="126" spans="1:7">
      <c r="A126" s="54" t="s">
        <v>24</v>
      </c>
      <c r="B126" s="54" t="s">
        <v>66</v>
      </c>
      <c r="C126" s="54">
        <v>9990300000</v>
      </c>
      <c r="D126" s="54" t="s">
        <v>76</v>
      </c>
      <c r="E126" s="55" t="s">
        <v>77</v>
      </c>
      <c r="F126" s="28">
        <f>F127</f>
        <v>29.100000000000023</v>
      </c>
      <c r="G126" s="28">
        <f t="shared" ref="G126" si="42">G127</f>
        <v>29.1</v>
      </c>
    </row>
    <row r="127" spans="1:7">
      <c r="A127" s="54" t="s">
        <v>24</v>
      </c>
      <c r="B127" s="54" t="s">
        <v>66</v>
      </c>
      <c r="C127" s="54">
        <v>9990300000</v>
      </c>
      <c r="D127" s="54">
        <v>850</v>
      </c>
      <c r="E127" s="55" t="s">
        <v>119</v>
      </c>
      <c r="F127" s="28">
        <f>434.1-39.7-24-341.3</f>
        <v>29.100000000000023</v>
      </c>
      <c r="G127" s="28">
        <v>29.1</v>
      </c>
    </row>
    <row r="128" spans="1:7" ht="47.25" customHeight="1">
      <c r="A128" s="199" t="s">
        <v>24</v>
      </c>
      <c r="B128" s="199" t="s">
        <v>66</v>
      </c>
      <c r="C128" s="199">
        <v>9990310200</v>
      </c>
      <c r="D128" s="199"/>
      <c r="E128" s="200" t="s">
        <v>349</v>
      </c>
      <c r="F128" s="28">
        <f>F129</f>
        <v>298.10000000000002</v>
      </c>
      <c r="G128" s="28">
        <f t="shared" ref="G128:G129" si="43">G129</f>
        <v>298.10000000000002</v>
      </c>
    </row>
    <row r="129" spans="1:7" ht="63">
      <c r="A129" s="199" t="s">
        <v>24</v>
      </c>
      <c r="B129" s="199" t="s">
        <v>66</v>
      </c>
      <c r="C129" s="199">
        <v>9990310200</v>
      </c>
      <c r="D129" s="199" t="s">
        <v>74</v>
      </c>
      <c r="E129" s="200" t="s">
        <v>2</v>
      </c>
      <c r="F129" s="28">
        <f>F130</f>
        <v>298.10000000000002</v>
      </c>
      <c r="G129" s="28">
        <f t="shared" si="43"/>
        <v>298.10000000000002</v>
      </c>
    </row>
    <row r="130" spans="1:7">
      <c r="A130" s="199" t="s">
        <v>24</v>
      </c>
      <c r="B130" s="201" t="s">
        <v>66</v>
      </c>
      <c r="C130" s="199">
        <v>9990310200</v>
      </c>
      <c r="D130" s="199">
        <v>110</v>
      </c>
      <c r="E130" s="22" t="s">
        <v>205</v>
      </c>
      <c r="F130" s="28">
        <v>298.10000000000002</v>
      </c>
      <c r="G130" s="28">
        <v>298.10000000000002</v>
      </c>
    </row>
    <row r="131" spans="1:7" ht="51" customHeight="1">
      <c r="A131" s="199" t="s">
        <v>24</v>
      </c>
      <c r="B131" s="199" t="s">
        <v>66</v>
      </c>
      <c r="C131" s="199" t="s">
        <v>469</v>
      </c>
      <c r="D131" s="199"/>
      <c r="E131" s="204" t="s">
        <v>354</v>
      </c>
      <c r="F131" s="28">
        <f>F132</f>
        <v>29.8</v>
      </c>
      <c r="G131" s="28">
        <f t="shared" ref="G131:G132" si="44">G132</f>
        <v>29.8</v>
      </c>
    </row>
    <row r="132" spans="1:7" ht="63">
      <c r="A132" s="199" t="s">
        <v>24</v>
      </c>
      <c r="B132" s="199" t="s">
        <v>66</v>
      </c>
      <c r="C132" s="199" t="s">
        <v>469</v>
      </c>
      <c r="D132" s="199" t="s">
        <v>74</v>
      </c>
      <c r="E132" s="200" t="s">
        <v>2</v>
      </c>
      <c r="F132" s="28">
        <f>F133</f>
        <v>29.8</v>
      </c>
      <c r="G132" s="28">
        <f t="shared" si="44"/>
        <v>29.8</v>
      </c>
    </row>
    <row r="133" spans="1:7">
      <c r="A133" s="199" t="s">
        <v>24</v>
      </c>
      <c r="B133" s="201" t="s">
        <v>66</v>
      </c>
      <c r="C133" s="199" t="s">
        <v>469</v>
      </c>
      <c r="D133" s="199">
        <v>110</v>
      </c>
      <c r="E133" s="22" t="s">
        <v>205</v>
      </c>
      <c r="F133" s="28">
        <v>29.8</v>
      </c>
      <c r="G133" s="28">
        <v>29.8</v>
      </c>
    </row>
    <row r="134" spans="1:7">
      <c r="A134" s="54" t="s">
        <v>24</v>
      </c>
      <c r="B134" s="54" t="s">
        <v>61</v>
      </c>
      <c r="C134" s="54" t="s">
        <v>72</v>
      </c>
      <c r="D134" s="54" t="s">
        <v>72</v>
      </c>
      <c r="E134" s="9" t="s">
        <v>29</v>
      </c>
      <c r="F134" s="28">
        <f>F135+F147</f>
        <v>8600.5</v>
      </c>
      <c r="G134" s="28">
        <f t="shared" ref="G134" si="45">G135+G147</f>
        <v>8600.4</v>
      </c>
    </row>
    <row r="135" spans="1:7">
      <c r="A135" s="54" t="s">
        <v>24</v>
      </c>
      <c r="B135" s="54" t="s">
        <v>81</v>
      </c>
      <c r="C135" s="54" t="s">
        <v>72</v>
      </c>
      <c r="D135" s="54" t="s">
        <v>72</v>
      </c>
      <c r="E135" s="55" t="s">
        <v>82</v>
      </c>
      <c r="F135" s="28">
        <f>F136</f>
        <v>1891.7000000000003</v>
      </c>
      <c r="G135" s="28">
        <f t="shared" ref="G135:G137" si="46">G136</f>
        <v>1891.6</v>
      </c>
    </row>
    <row r="136" spans="1:7">
      <c r="A136" s="54" t="s">
        <v>24</v>
      </c>
      <c r="B136" s="54" t="s">
        <v>81</v>
      </c>
      <c r="C136" s="54">
        <v>9900000000</v>
      </c>
      <c r="D136" s="54"/>
      <c r="E136" s="55" t="s">
        <v>124</v>
      </c>
      <c r="F136" s="28">
        <f>F137</f>
        <v>1891.7000000000003</v>
      </c>
      <c r="G136" s="28">
        <f t="shared" si="46"/>
        <v>1891.6</v>
      </c>
    </row>
    <row r="137" spans="1:7" ht="31.5">
      <c r="A137" s="54" t="s">
        <v>24</v>
      </c>
      <c r="B137" s="54" t="s">
        <v>81</v>
      </c>
      <c r="C137" s="54">
        <v>9990000000</v>
      </c>
      <c r="D137" s="54"/>
      <c r="E137" s="55" t="s">
        <v>189</v>
      </c>
      <c r="F137" s="28">
        <f>F138</f>
        <v>1891.7000000000003</v>
      </c>
      <c r="G137" s="28">
        <f t="shared" si="46"/>
        <v>1891.6</v>
      </c>
    </row>
    <row r="138" spans="1:7" ht="31.5">
      <c r="A138" s="54" t="s">
        <v>24</v>
      </c>
      <c r="B138" s="54" t="s">
        <v>81</v>
      </c>
      <c r="C138" s="54">
        <v>9990200000</v>
      </c>
      <c r="D138" s="30"/>
      <c r="E138" s="55" t="s">
        <v>138</v>
      </c>
      <c r="F138" s="28">
        <f>F139+F142</f>
        <v>1891.7000000000003</v>
      </c>
      <c r="G138" s="28">
        <f t="shared" ref="G138" si="47">G139+G142</f>
        <v>1891.6</v>
      </c>
    </row>
    <row r="139" spans="1:7" ht="47.25">
      <c r="A139" s="54" t="s">
        <v>24</v>
      </c>
      <c r="B139" s="54" t="s">
        <v>81</v>
      </c>
      <c r="C139" s="54">
        <v>9990226000</v>
      </c>
      <c r="D139" s="54"/>
      <c r="E139" s="55" t="s">
        <v>191</v>
      </c>
      <c r="F139" s="28">
        <f>F140</f>
        <v>131.69999999999999</v>
      </c>
      <c r="G139" s="28">
        <f t="shared" ref="G139:G140" si="48">G140</f>
        <v>131.6</v>
      </c>
    </row>
    <row r="140" spans="1:7" ht="63">
      <c r="A140" s="54" t="s">
        <v>24</v>
      </c>
      <c r="B140" s="54" t="s">
        <v>81</v>
      </c>
      <c r="C140" s="54">
        <v>9990226000</v>
      </c>
      <c r="D140" s="54" t="s">
        <v>74</v>
      </c>
      <c r="E140" s="55" t="s">
        <v>2</v>
      </c>
      <c r="F140" s="28">
        <f>F141</f>
        <v>131.69999999999999</v>
      </c>
      <c r="G140" s="28">
        <f t="shared" si="48"/>
        <v>131.6</v>
      </c>
    </row>
    <row r="141" spans="1:7" ht="30" customHeight="1">
      <c r="A141" s="54" t="s">
        <v>24</v>
      </c>
      <c r="B141" s="54" t="s">
        <v>81</v>
      </c>
      <c r="C141" s="54">
        <v>9990226000</v>
      </c>
      <c r="D141" s="54">
        <v>120</v>
      </c>
      <c r="E141" s="178" t="s">
        <v>443</v>
      </c>
      <c r="F141" s="28">
        <f>131.7</f>
        <v>131.69999999999999</v>
      </c>
      <c r="G141" s="28">
        <v>131.6</v>
      </c>
    </row>
    <row r="142" spans="1:7" ht="31.5">
      <c r="A142" s="54" t="s">
        <v>24</v>
      </c>
      <c r="B142" s="54" t="s">
        <v>81</v>
      </c>
      <c r="C142" s="54">
        <v>9990259300</v>
      </c>
      <c r="D142" s="54"/>
      <c r="E142" s="55" t="s">
        <v>206</v>
      </c>
      <c r="F142" s="28">
        <f>F143+F145</f>
        <v>1760.0000000000002</v>
      </c>
      <c r="G142" s="28">
        <f t="shared" ref="G142" si="49">G143+G145</f>
        <v>1760</v>
      </c>
    </row>
    <row r="143" spans="1:7" ht="63">
      <c r="A143" s="54" t="s">
        <v>24</v>
      </c>
      <c r="B143" s="54" t="s">
        <v>81</v>
      </c>
      <c r="C143" s="54">
        <v>9990259300</v>
      </c>
      <c r="D143" s="54" t="s">
        <v>74</v>
      </c>
      <c r="E143" s="55" t="s">
        <v>2</v>
      </c>
      <c r="F143" s="28">
        <f>F144</f>
        <v>1377.8000000000002</v>
      </c>
      <c r="G143" s="28">
        <f t="shared" ref="G143" si="50">G144</f>
        <v>1377.8</v>
      </c>
    </row>
    <row r="144" spans="1:7" ht="29.45" customHeight="1">
      <c r="A144" s="54" t="s">
        <v>24</v>
      </c>
      <c r="B144" s="54" t="s">
        <v>81</v>
      </c>
      <c r="C144" s="54">
        <v>9990259300</v>
      </c>
      <c r="D144" s="54">
        <v>120</v>
      </c>
      <c r="E144" s="178" t="s">
        <v>443</v>
      </c>
      <c r="F144" s="28">
        <f>1227.9+149.9</f>
        <v>1377.8000000000002</v>
      </c>
      <c r="G144" s="28">
        <v>1377.8</v>
      </c>
    </row>
    <row r="145" spans="1:7" ht="31.5">
      <c r="A145" s="54" t="s">
        <v>24</v>
      </c>
      <c r="B145" s="54" t="s">
        <v>81</v>
      </c>
      <c r="C145" s="54">
        <v>9990259300</v>
      </c>
      <c r="D145" s="54" t="s">
        <v>75</v>
      </c>
      <c r="E145" s="55" t="s">
        <v>107</v>
      </c>
      <c r="F145" s="28">
        <f>F146</f>
        <v>382.2</v>
      </c>
      <c r="G145" s="28">
        <f t="shared" ref="G145" si="51">G146</f>
        <v>382.2</v>
      </c>
    </row>
    <row r="146" spans="1:7" ht="33" customHeight="1">
      <c r="A146" s="54" t="s">
        <v>24</v>
      </c>
      <c r="B146" s="54" t="s">
        <v>81</v>
      </c>
      <c r="C146" s="54">
        <v>9990259300</v>
      </c>
      <c r="D146" s="54">
        <v>240</v>
      </c>
      <c r="E146" s="178" t="s">
        <v>441</v>
      </c>
      <c r="F146" s="28">
        <f>91.5+290.7</f>
        <v>382.2</v>
      </c>
      <c r="G146" s="28">
        <v>382.2</v>
      </c>
    </row>
    <row r="147" spans="1:7" ht="31.5">
      <c r="A147" s="54" t="s">
        <v>24</v>
      </c>
      <c r="B147" s="54" t="s">
        <v>53</v>
      </c>
      <c r="C147" s="54"/>
      <c r="D147" s="54"/>
      <c r="E147" s="55" t="s">
        <v>19</v>
      </c>
      <c r="F147" s="28">
        <f t="shared" ref="F147:G155" si="52">F148</f>
        <v>6708.8</v>
      </c>
      <c r="G147" s="28">
        <f t="shared" si="52"/>
        <v>6708.8</v>
      </c>
    </row>
    <row r="148" spans="1:7" ht="31.5">
      <c r="A148" s="54" t="s">
        <v>24</v>
      </c>
      <c r="B148" s="54" t="s">
        <v>53</v>
      </c>
      <c r="C148" s="56">
        <v>1500000000</v>
      </c>
      <c r="D148" s="54"/>
      <c r="E148" s="55" t="s">
        <v>232</v>
      </c>
      <c r="F148" s="28">
        <f t="shared" si="52"/>
        <v>6708.8</v>
      </c>
      <c r="G148" s="28">
        <f t="shared" si="52"/>
        <v>6708.8</v>
      </c>
    </row>
    <row r="149" spans="1:7">
      <c r="A149" s="54" t="s">
        <v>24</v>
      </c>
      <c r="B149" s="54" t="s">
        <v>53</v>
      </c>
      <c r="C149" s="54">
        <v>1510000000</v>
      </c>
      <c r="D149" s="54"/>
      <c r="E149" s="55" t="s">
        <v>196</v>
      </c>
      <c r="F149" s="28">
        <f t="shared" si="52"/>
        <v>6708.8</v>
      </c>
      <c r="G149" s="28">
        <f t="shared" si="52"/>
        <v>6708.8</v>
      </c>
    </row>
    <row r="150" spans="1:7" ht="47.25">
      <c r="A150" s="54" t="s">
        <v>24</v>
      </c>
      <c r="B150" s="54" t="s">
        <v>53</v>
      </c>
      <c r="C150" s="54">
        <v>1510100000</v>
      </c>
      <c r="D150" s="54"/>
      <c r="E150" s="55" t="s">
        <v>235</v>
      </c>
      <c r="F150" s="28">
        <f>F154+F151+F157</f>
        <v>6708.8</v>
      </c>
      <c r="G150" s="28">
        <f t="shared" ref="G150" si="53">G154+G151+G157</f>
        <v>6708.8</v>
      </c>
    </row>
    <row r="151" spans="1:7" ht="50.25" customHeight="1">
      <c r="A151" s="81" t="s">
        <v>24</v>
      </c>
      <c r="B151" s="81" t="s">
        <v>53</v>
      </c>
      <c r="C151" s="81">
        <v>1510110200</v>
      </c>
      <c r="D151" s="81"/>
      <c r="E151" s="9" t="s">
        <v>349</v>
      </c>
      <c r="F151" s="28">
        <f>F152</f>
        <v>41.3</v>
      </c>
      <c r="G151" s="28">
        <f t="shared" ref="G151:G152" si="54">G152</f>
        <v>41.3</v>
      </c>
    </row>
    <row r="152" spans="1:7" ht="31.5">
      <c r="A152" s="81" t="s">
        <v>24</v>
      </c>
      <c r="B152" s="81" t="s">
        <v>53</v>
      </c>
      <c r="C152" s="81">
        <v>1510110200</v>
      </c>
      <c r="D152" s="81">
        <v>600</v>
      </c>
      <c r="E152" s="82" t="s">
        <v>90</v>
      </c>
      <c r="F152" s="28">
        <f>F153</f>
        <v>41.3</v>
      </c>
      <c r="G152" s="28">
        <f t="shared" si="54"/>
        <v>41.3</v>
      </c>
    </row>
    <row r="153" spans="1:7">
      <c r="A153" s="81" t="s">
        <v>24</v>
      </c>
      <c r="B153" s="81" t="s">
        <v>53</v>
      </c>
      <c r="C153" s="81">
        <v>1510110200</v>
      </c>
      <c r="D153" s="81">
        <v>610</v>
      </c>
      <c r="E153" s="82" t="s">
        <v>123</v>
      </c>
      <c r="F153" s="28">
        <f>23.2+1.8+16.3</f>
        <v>41.3</v>
      </c>
      <c r="G153" s="28">
        <v>41.3</v>
      </c>
    </row>
    <row r="154" spans="1:7" ht="31.5">
      <c r="A154" s="54" t="s">
        <v>24</v>
      </c>
      <c r="B154" s="54" t="s">
        <v>53</v>
      </c>
      <c r="C154" s="54">
        <v>1510120010</v>
      </c>
      <c r="D154" s="54"/>
      <c r="E154" s="55" t="s">
        <v>144</v>
      </c>
      <c r="F154" s="28">
        <f t="shared" si="52"/>
        <v>6663.4</v>
      </c>
      <c r="G154" s="28">
        <f t="shared" si="52"/>
        <v>6663.4</v>
      </c>
    </row>
    <row r="155" spans="1:7" ht="31.5">
      <c r="A155" s="54" t="s">
        <v>24</v>
      </c>
      <c r="B155" s="54" t="s">
        <v>53</v>
      </c>
      <c r="C155" s="54">
        <v>1510120010</v>
      </c>
      <c r="D155" s="54">
        <v>600</v>
      </c>
      <c r="E155" s="55" t="s">
        <v>90</v>
      </c>
      <c r="F155" s="28">
        <f t="shared" si="52"/>
        <v>6663.4</v>
      </c>
      <c r="G155" s="28">
        <f t="shared" si="52"/>
        <v>6663.4</v>
      </c>
    </row>
    <row r="156" spans="1:7">
      <c r="A156" s="54" t="s">
        <v>24</v>
      </c>
      <c r="B156" s="54" t="s">
        <v>53</v>
      </c>
      <c r="C156" s="54">
        <v>1510120010</v>
      </c>
      <c r="D156" s="54">
        <v>610</v>
      </c>
      <c r="E156" s="55" t="s">
        <v>123</v>
      </c>
      <c r="F156" s="28">
        <f>6548.3+213-2.3-0.2-93.8-1.6</f>
        <v>6663.4</v>
      </c>
      <c r="G156" s="28">
        <v>6663.4</v>
      </c>
    </row>
    <row r="157" spans="1:7" ht="51" customHeight="1">
      <c r="A157" s="84" t="s">
        <v>24</v>
      </c>
      <c r="B157" s="84" t="s">
        <v>53</v>
      </c>
      <c r="C157" s="84" t="s">
        <v>353</v>
      </c>
      <c r="D157" s="84"/>
      <c r="E157" s="9" t="s">
        <v>354</v>
      </c>
      <c r="F157" s="28">
        <f>F158</f>
        <v>4.0999999999999996</v>
      </c>
      <c r="G157" s="28">
        <f t="shared" ref="G157:G158" si="55">G158</f>
        <v>4.0999999999999996</v>
      </c>
    </row>
    <row r="158" spans="1:7" ht="31.5">
      <c r="A158" s="84" t="s">
        <v>24</v>
      </c>
      <c r="B158" s="84" t="s">
        <v>53</v>
      </c>
      <c r="C158" s="84" t="s">
        <v>353</v>
      </c>
      <c r="D158" s="84">
        <v>600</v>
      </c>
      <c r="E158" s="85" t="s">
        <v>110</v>
      </c>
      <c r="F158" s="28">
        <f>F159</f>
        <v>4.0999999999999996</v>
      </c>
      <c r="G158" s="28">
        <f t="shared" si="55"/>
        <v>4.0999999999999996</v>
      </c>
    </row>
    <row r="159" spans="1:7">
      <c r="A159" s="84" t="s">
        <v>24</v>
      </c>
      <c r="B159" s="84" t="s">
        <v>53</v>
      </c>
      <c r="C159" s="84" t="s">
        <v>353</v>
      </c>
      <c r="D159" s="84">
        <v>610</v>
      </c>
      <c r="E159" s="85" t="s">
        <v>123</v>
      </c>
      <c r="F159" s="28">
        <f>2.3+0.2+1.6</f>
        <v>4.0999999999999996</v>
      </c>
      <c r="G159" s="28">
        <v>4.0999999999999996</v>
      </c>
    </row>
    <row r="160" spans="1:7">
      <c r="A160" s="54" t="s">
        <v>24</v>
      </c>
      <c r="B160" s="54" t="s">
        <v>62</v>
      </c>
      <c r="C160" s="54" t="s">
        <v>72</v>
      </c>
      <c r="D160" s="54" t="s">
        <v>72</v>
      </c>
      <c r="E160" s="9" t="s">
        <v>30</v>
      </c>
      <c r="F160" s="28">
        <f>F161+F168+F175+F197</f>
        <v>126400.09999999999</v>
      </c>
      <c r="G160" s="28">
        <f>G161+G168+G175+G197</f>
        <v>111936.3</v>
      </c>
    </row>
    <row r="161" spans="1:7">
      <c r="A161" s="54" t="s">
        <v>24</v>
      </c>
      <c r="B161" s="24" t="s">
        <v>116</v>
      </c>
      <c r="C161" s="30"/>
      <c r="D161" s="30"/>
      <c r="E161" s="55" t="s">
        <v>117</v>
      </c>
      <c r="F161" s="28">
        <f t="shared" ref="F161:G166" si="56">F162</f>
        <v>255.4</v>
      </c>
      <c r="G161" s="28">
        <f t="shared" si="56"/>
        <v>255.4</v>
      </c>
    </row>
    <row r="162" spans="1:7" ht="30" customHeight="1">
      <c r="A162" s="54" t="s">
        <v>24</v>
      </c>
      <c r="B162" s="24" t="s">
        <v>116</v>
      </c>
      <c r="C162" s="56">
        <v>1100000000</v>
      </c>
      <c r="D162" s="30"/>
      <c r="E162" s="55" t="s">
        <v>236</v>
      </c>
      <c r="F162" s="28">
        <f t="shared" si="56"/>
        <v>255.4</v>
      </c>
      <c r="G162" s="28">
        <f t="shared" si="56"/>
        <v>255.4</v>
      </c>
    </row>
    <row r="163" spans="1:7" ht="31.5">
      <c r="A163" s="54" t="s">
        <v>24</v>
      </c>
      <c r="B163" s="24" t="s">
        <v>116</v>
      </c>
      <c r="C163" s="56">
        <v>1130000000</v>
      </c>
      <c r="D163" s="30"/>
      <c r="E163" s="55" t="s">
        <v>135</v>
      </c>
      <c r="F163" s="28">
        <f t="shared" si="56"/>
        <v>255.4</v>
      </c>
      <c r="G163" s="28">
        <f t="shared" si="56"/>
        <v>255.4</v>
      </c>
    </row>
    <row r="164" spans="1:7" ht="47.25">
      <c r="A164" s="54" t="s">
        <v>24</v>
      </c>
      <c r="B164" s="24" t="s">
        <v>116</v>
      </c>
      <c r="C164" s="56">
        <v>1130300000</v>
      </c>
      <c r="D164" s="30"/>
      <c r="E164" s="55" t="s">
        <v>136</v>
      </c>
      <c r="F164" s="28">
        <f t="shared" si="56"/>
        <v>255.4</v>
      </c>
      <c r="G164" s="28">
        <f t="shared" si="56"/>
        <v>255.4</v>
      </c>
    </row>
    <row r="165" spans="1:7" ht="31.5">
      <c r="A165" s="54" t="s">
        <v>24</v>
      </c>
      <c r="B165" s="24" t="s">
        <v>116</v>
      </c>
      <c r="C165" s="56">
        <v>1130320280</v>
      </c>
      <c r="D165" s="30"/>
      <c r="E165" s="87" t="s">
        <v>137</v>
      </c>
      <c r="F165" s="28">
        <f t="shared" si="56"/>
        <v>255.4</v>
      </c>
      <c r="G165" s="28">
        <f t="shared" si="56"/>
        <v>255.4</v>
      </c>
    </row>
    <row r="166" spans="1:7" ht="31.5">
      <c r="A166" s="54" t="s">
        <v>24</v>
      </c>
      <c r="B166" s="24" t="s">
        <v>116</v>
      </c>
      <c r="C166" s="56">
        <v>1130320280</v>
      </c>
      <c r="D166" s="56" t="s">
        <v>109</v>
      </c>
      <c r="E166" s="55" t="s">
        <v>110</v>
      </c>
      <c r="F166" s="28">
        <f t="shared" si="56"/>
        <v>255.4</v>
      </c>
      <c r="G166" s="28">
        <f t="shared" si="56"/>
        <v>255.4</v>
      </c>
    </row>
    <row r="167" spans="1:7">
      <c r="A167" s="54" t="s">
        <v>24</v>
      </c>
      <c r="B167" s="24" t="s">
        <v>116</v>
      </c>
      <c r="C167" s="56">
        <v>1130320280</v>
      </c>
      <c r="D167" s="54">
        <v>610</v>
      </c>
      <c r="E167" s="55" t="s">
        <v>123</v>
      </c>
      <c r="F167" s="28">
        <f>176.4+79</f>
        <v>255.4</v>
      </c>
      <c r="G167" s="28">
        <v>255.4</v>
      </c>
    </row>
    <row r="168" spans="1:7">
      <c r="A168" s="54" t="s">
        <v>24</v>
      </c>
      <c r="B168" s="54" t="s">
        <v>95</v>
      </c>
      <c r="C168" s="54" t="s">
        <v>72</v>
      </c>
      <c r="D168" s="54" t="s">
        <v>72</v>
      </c>
      <c r="E168" s="55" t="s">
        <v>96</v>
      </c>
      <c r="F168" s="28">
        <f t="shared" ref="F168:G173" si="57">F169</f>
        <v>404</v>
      </c>
      <c r="G168" s="28">
        <f t="shared" si="57"/>
        <v>404</v>
      </c>
    </row>
    <row r="169" spans="1:7" ht="47.25">
      <c r="A169" s="54" t="s">
        <v>24</v>
      </c>
      <c r="B169" s="54" t="s">
        <v>95</v>
      </c>
      <c r="C169" s="56">
        <v>1300000000</v>
      </c>
      <c r="D169" s="54"/>
      <c r="E169" s="55" t="s">
        <v>237</v>
      </c>
      <c r="F169" s="28">
        <f t="shared" si="57"/>
        <v>404</v>
      </c>
      <c r="G169" s="28">
        <f t="shared" si="57"/>
        <v>404</v>
      </c>
    </row>
    <row r="170" spans="1:7" ht="16.899999999999999" customHeight="1">
      <c r="A170" s="54" t="s">
        <v>24</v>
      </c>
      <c r="B170" s="54" t="s">
        <v>95</v>
      </c>
      <c r="C170" s="56">
        <v>1330000000</v>
      </c>
      <c r="D170" s="54"/>
      <c r="E170" s="55" t="s">
        <v>145</v>
      </c>
      <c r="F170" s="28">
        <f t="shared" si="57"/>
        <v>404</v>
      </c>
      <c r="G170" s="28">
        <f t="shared" si="57"/>
        <v>404</v>
      </c>
    </row>
    <row r="171" spans="1:7" ht="31.5">
      <c r="A171" s="54" t="s">
        <v>24</v>
      </c>
      <c r="B171" s="54" t="s">
        <v>95</v>
      </c>
      <c r="C171" s="56">
        <v>1330100000</v>
      </c>
      <c r="D171" s="54"/>
      <c r="E171" s="55" t="s">
        <v>238</v>
      </c>
      <c r="F171" s="28">
        <f t="shared" si="57"/>
        <v>404</v>
      </c>
      <c r="G171" s="28">
        <f t="shared" si="57"/>
        <v>404</v>
      </c>
    </row>
    <row r="172" spans="1:7" ht="78.75">
      <c r="A172" s="54" t="s">
        <v>24</v>
      </c>
      <c r="B172" s="54" t="s">
        <v>95</v>
      </c>
      <c r="C172" s="56">
        <v>1330110550</v>
      </c>
      <c r="D172" s="54"/>
      <c r="E172" s="55" t="s">
        <v>312</v>
      </c>
      <c r="F172" s="28">
        <f t="shared" si="57"/>
        <v>404</v>
      </c>
      <c r="G172" s="28">
        <f t="shared" si="57"/>
        <v>404</v>
      </c>
    </row>
    <row r="173" spans="1:7" ht="31.5">
      <c r="A173" s="54" t="s">
        <v>24</v>
      </c>
      <c r="B173" s="54" t="s">
        <v>95</v>
      </c>
      <c r="C173" s="56">
        <v>1330110550</v>
      </c>
      <c r="D173" s="56" t="s">
        <v>75</v>
      </c>
      <c r="E173" s="55" t="s">
        <v>107</v>
      </c>
      <c r="F173" s="28">
        <f t="shared" si="57"/>
        <v>404</v>
      </c>
      <c r="G173" s="28">
        <f t="shared" si="57"/>
        <v>404</v>
      </c>
    </row>
    <row r="174" spans="1:7" ht="30" customHeight="1">
      <c r="A174" s="54" t="s">
        <v>24</v>
      </c>
      <c r="B174" s="54" t="s">
        <v>95</v>
      </c>
      <c r="C174" s="56">
        <v>1330110550</v>
      </c>
      <c r="D174" s="54">
        <v>240</v>
      </c>
      <c r="E174" s="55" t="s">
        <v>441</v>
      </c>
      <c r="F174" s="28">
        <v>404</v>
      </c>
      <c r="G174" s="28">
        <v>404</v>
      </c>
    </row>
    <row r="175" spans="1:7">
      <c r="A175" s="54" t="s">
        <v>24</v>
      </c>
      <c r="B175" s="54" t="s">
        <v>9</v>
      </c>
      <c r="C175" s="54" t="s">
        <v>72</v>
      </c>
      <c r="D175" s="54" t="s">
        <v>72</v>
      </c>
      <c r="E175" s="55" t="s">
        <v>99</v>
      </c>
      <c r="F175" s="28">
        <f>F176</f>
        <v>122277.09999999999</v>
      </c>
      <c r="G175" s="28">
        <f t="shared" ref="G175" si="58">G176</f>
        <v>107813.3</v>
      </c>
    </row>
    <row r="176" spans="1:7" ht="47.25">
      <c r="A176" s="54" t="s">
        <v>24</v>
      </c>
      <c r="B176" s="54" t="s">
        <v>9</v>
      </c>
      <c r="C176" s="56">
        <v>1400000000</v>
      </c>
      <c r="D176" s="54"/>
      <c r="E176" s="55" t="s">
        <v>239</v>
      </c>
      <c r="F176" s="28">
        <f>F177+F192</f>
        <v>122277.09999999999</v>
      </c>
      <c r="G176" s="28">
        <f>G177+G192</f>
        <v>107813.3</v>
      </c>
    </row>
    <row r="177" spans="1:7">
      <c r="A177" s="54" t="s">
        <v>24</v>
      </c>
      <c r="B177" s="54" t="s">
        <v>9</v>
      </c>
      <c r="C177" s="56">
        <v>1410000000</v>
      </c>
      <c r="D177" s="54"/>
      <c r="E177" s="55" t="s">
        <v>146</v>
      </c>
      <c r="F177" s="28">
        <f>F178+F182</f>
        <v>118777.09999999999</v>
      </c>
      <c r="G177" s="28">
        <f t="shared" ref="G177" si="59">G178+G182</f>
        <v>104313.3</v>
      </c>
    </row>
    <row r="178" spans="1:7">
      <c r="A178" s="54" t="s">
        <v>24</v>
      </c>
      <c r="B178" s="54" t="s">
        <v>9</v>
      </c>
      <c r="C178" s="56">
        <v>1410100000</v>
      </c>
      <c r="D178" s="30"/>
      <c r="E178" s="55" t="s">
        <v>240</v>
      </c>
      <c r="F178" s="28">
        <f>F179</f>
        <v>23841.7</v>
      </c>
      <c r="G178" s="28">
        <f t="shared" ref="G178:G180" si="60">G179</f>
        <v>23541.7</v>
      </c>
    </row>
    <row r="179" spans="1:7" ht="31.5">
      <c r="A179" s="54" t="s">
        <v>24</v>
      </c>
      <c r="B179" s="54" t="s">
        <v>9</v>
      </c>
      <c r="C179" s="54">
        <v>1410120100</v>
      </c>
      <c r="D179" s="54"/>
      <c r="E179" s="55" t="s">
        <v>147</v>
      </c>
      <c r="F179" s="28">
        <f>F180</f>
        <v>23841.7</v>
      </c>
      <c r="G179" s="28">
        <f t="shared" si="60"/>
        <v>23541.7</v>
      </c>
    </row>
    <row r="180" spans="1:7" ht="31.5">
      <c r="A180" s="54" t="s">
        <v>24</v>
      </c>
      <c r="B180" s="54" t="s">
        <v>9</v>
      </c>
      <c r="C180" s="54">
        <v>1410120100</v>
      </c>
      <c r="D180" s="56" t="s">
        <v>75</v>
      </c>
      <c r="E180" s="55" t="s">
        <v>107</v>
      </c>
      <c r="F180" s="28">
        <f>F181</f>
        <v>23841.7</v>
      </c>
      <c r="G180" s="28">
        <f t="shared" si="60"/>
        <v>23541.7</v>
      </c>
    </row>
    <row r="181" spans="1:7" ht="30.6" customHeight="1">
      <c r="A181" s="54" t="s">
        <v>24</v>
      </c>
      <c r="B181" s="54" t="s">
        <v>9</v>
      </c>
      <c r="C181" s="54">
        <v>1410120100</v>
      </c>
      <c r="D181" s="54">
        <v>240</v>
      </c>
      <c r="E181" s="178" t="s">
        <v>441</v>
      </c>
      <c r="F181" s="28">
        <f>23454.7+387</f>
        <v>23841.7</v>
      </c>
      <c r="G181" s="28">
        <v>23541.7</v>
      </c>
    </row>
    <row r="182" spans="1:7" ht="47.25">
      <c r="A182" s="54" t="s">
        <v>24</v>
      </c>
      <c r="B182" s="54" t="s">
        <v>9</v>
      </c>
      <c r="C182" s="56">
        <v>1410200000</v>
      </c>
      <c r="D182" s="54"/>
      <c r="E182" s="74" t="s">
        <v>241</v>
      </c>
      <c r="F182" s="28">
        <f>F186+F189+F183</f>
        <v>94935.4</v>
      </c>
      <c r="G182" s="28">
        <f t="shared" ref="G182" si="61">G186+G189+G183</f>
        <v>80771.600000000006</v>
      </c>
    </row>
    <row r="183" spans="1:7" ht="31.5">
      <c r="A183" s="81" t="s">
        <v>24</v>
      </c>
      <c r="B183" s="81" t="s">
        <v>9</v>
      </c>
      <c r="C183" s="81">
        <v>1410211050</v>
      </c>
      <c r="D183" s="81"/>
      <c r="E183" s="106" t="s">
        <v>347</v>
      </c>
      <c r="F183" s="28">
        <f>F184</f>
        <v>77453.7</v>
      </c>
      <c r="G183" s="28">
        <f t="shared" ref="G183:G184" si="62">G184</f>
        <v>63453.7</v>
      </c>
    </row>
    <row r="184" spans="1:7" ht="31.5">
      <c r="A184" s="81" t="s">
        <v>24</v>
      </c>
      <c r="B184" s="81" t="s">
        <v>9</v>
      </c>
      <c r="C184" s="81">
        <v>1410211050</v>
      </c>
      <c r="D184" s="83" t="s">
        <v>75</v>
      </c>
      <c r="E184" s="82" t="s">
        <v>107</v>
      </c>
      <c r="F184" s="28">
        <f>F185</f>
        <v>77453.7</v>
      </c>
      <c r="G184" s="28">
        <f t="shared" si="62"/>
        <v>63453.7</v>
      </c>
    </row>
    <row r="185" spans="1:7" ht="30.75" customHeight="1">
      <c r="A185" s="81" t="s">
        <v>24</v>
      </c>
      <c r="B185" s="81" t="s">
        <v>9</v>
      </c>
      <c r="C185" s="81">
        <v>1410211050</v>
      </c>
      <c r="D185" s="81">
        <v>240</v>
      </c>
      <c r="E185" s="82" t="s">
        <v>441</v>
      </c>
      <c r="F185" s="28">
        <v>77453.7</v>
      </c>
      <c r="G185" s="28">
        <v>63453.7</v>
      </c>
    </row>
    <row r="186" spans="1:7">
      <c r="A186" s="54" t="s">
        <v>24</v>
      </c>
      <c r="B186" s="54" t="s">
        <v>9</v>
      </c>
      <c r="C186" s="54">
        <v>1410220110</v>
      </c>
      <c r="D186" s="54"/>
      <c r="E186" s="55" t="s">
        <v>148</v>
      </c>
      <c r="F186" s="28">
        <f>F187</f>
        <v>1564.4</v>
      </c>
      <c r="G186" s="28">
        <f t="shared" ref="G186:G187" si="63">G187</f>
        <v>1454.5</v>
      </c>
    </row>
    <row r="187" spans="1:7" ht="31.5">
      <c r="A187" s="54" t="s">
        <v>24</v>
      </c>
      <c r="B187" s="54" t="s">
        <v>9</v>
      </c>
      <c r="C187" s="54">
        <v>1410220110</v>
      </c>
      <c r="D187" s="56" t="s">
        <v>75</v>
      </c>
      <c r="E187" s="55" t="s">
        <v>107</v>
      </c>
      <c r="F187" s="28">
        <f>F188</f>
        <v>1564.4</v>
      </c>
      <c r="G187" s="28">
        <f t="shared" si="63"/>
        <v>1454.5</v>
      </c>
    </row>
    <row r="188" spans="1:7" ht="34.9" customHeight="1">
      <c r="A188" s="54" t="s">
        <v>24</v>
      </c>
      <c r="B188" s="54" t="s">
        <v>9</v>
      </c>
      <c r="C188" s="54">
        <v>1410220110</v>
      </c>
      <c r="D188" s="54">
        <v>240</v>
      </c>
      <c r="E188" s="178" t="s">
        <v>441</v>
      </c>
      <c r="F188" s="28">
        <f>2101.9-637.5+100</f>
        <v>1564.4</v>
      </c>
      <c r="G188" s="28">
        <v>1454.5</v>
      </c>
    </row>
    <row r="189" spans="1:7" ht="31.5">
      <c r="A189" s="66" t="s">
        <v>24</v>
      </c>
      <c r="B189" s="66" t="s">
        <v>9</v>
      </c>
      <c r="C189" s="81" t="s">
        <v>346</v>
      </c>
      <c r="D189" s="66"/>
      <c r="E189" s="82" t="s">
        <v>345</v>
      </c>
      <c r="F189" s="28">
        <f>F190</f>
        <v>15917.299999999997</v>
      </c>
      <c r="G189" s="28">
        <f t="shared" ref="G189:G190" si="64">G190</f>
        <v>15863.4</v>
      </c>
    </row>
    <row r="190" spans="1:7" ht="34.9" customHeight="1">
      <c r="A190" s="66" t="s">
        <v>24</v>
      </c>
      <c r="B190" s="66" t="s">
        <v>9</v>
      </c>
      <c r="C190" s="81" t="s">
        <v>346</v>
      </c>
      <c r="D190" s="68" t="s">
        <v>75</v>
      </c>
      <c r="E190" s="67" t="s">
        <v>107</v>
      </c>
      <c r="F190" s="28">
        <f>F191</f>
        <v>15917.299999999997</v>
      </c>
      <c r="G190" s="28">
        <f t="shared" si="64"/>
        <v>15863.4</v>
      </c>
    </row>
    <row r="191" spans="1:7" ht="34.9" customHeight="1">
      <c r="A191" s="66" t="s">
        <v>24</v>
      </c>
      <c r="B191" s="66" t="s">
        <v>9</v>
      </c>
      <c r="C191" s="81" t="s">
        <v>346</v>
      </c>
      <c r="D191" s="66">
        <v>240</v>
      </c>
      <c r="E191" s="178" t="s">
        <v>441</v>
      </c>
      <c r="F191" s="28">
        <f>19643.6-40-2674.4-1011.9</f>
        <v>15917.299999999997</v>
      </c>
      <c r="G191" s="28">
        <v>15863.4</v>
      </c>
    </row>
    <row r="192" spans="1:7">
      <c r="A192" s="54" t="s">
        <v>24</v>
      </c>
      <c r="B192" s="54" t="s">
        <v>9</v>
      </c>
      <c r="C192" s="56">
        <v>1420000000</v>
      </c>
      <c r="D192" s="54"/>
      <c r="E192" s="55" t="s">
        <v>149</v>
      </c>
      <c r="F192" s="28">
        <f>F193</f>
        <v>3500</v>
      </c>
      <c r="G192" s="28">
        <f t="shared" ref="G192:G195" si="65">G193</f>
        <v>3500</v>
      </c>
    </row>
    <row r="193" spans="1:7" ht="31.5">
      <c r="A193" s="54" t="s">
        <v>24</v>
      </c>
      <c r="B193" s="54" t="s">
        <v>9</v>
      </c>
      <c r="C193" s="56">
        <v>1420100000</v>
      </c>
      <c r="D193" s="54"/>
      <c r="E193" s="55" t="s">
        <v>242</v>
      </c>
      <c r="F193" s="28">
        <f>F194</f>
        <v>3500</v>
      </c>
      <c r="G193" s="28">
        <f t="shared" si="65"/>
        <v>3500</v>
      </c>
    </row>
    <row r="194" spans="1:7">
      <c r="A194" s="54" t="s">
        <v>24</v>
      </c>
      <c r="B194" s="54" t="s">
        <v>9</v>
      </c>
      <c r="C194" s="54">
        <v>1420120120</v>
      </c>
      <c r="D194" s="54"/>
      <c r="E194" s="55" t="s">
        <v>150</v>
      </c>
      <c r="F194" s="28">
        <f>F195</f>
        <v>3500</v>
      </c>
      <c r="G194" s="28">
        <f t="shared" si="65"/>
        <v>3500</v>
      </c>
    </row>
    <row r="195" spans="1:7" ht="31.5">
      <c r="A195" s="54" t="s">
        <v>24</v>
      </c>
      <c r="B195" s="54" t="s">
        <v>9</v>
      </c>
      <c r="C195" s="54">
        <v>1420120120</v>
      </c>
      <c r="D195" s="56" t="s">
        <v>75</v>
      </c>
      <c r="E195" s="55" t="s">
        <v>107</v>
      </c>
      <c r="F195" s="28">
        <f>F196</f>
        <v>3500</v>
      </c>
      <c r="G195" s="28">
        <f t="shared" si="65"/>
        <v>3500</v>
      </c>
    </row>
    <row r="196" spans="1:7" ht="30" customHeight="1">
      <c r="A196" s="54" t="s">
        <v>24</v>
      </c>
      <c r="B196" s="54" t="s">
        <v>9</v>
      </c>
      <c r="C196" s="54">
        <v>1420120120</v>
      </c>
      <c r="D196" s="54">
        <v>240</v>
      </c>
      <c r="E196" s="178" t="s">
        <v>441</v>
      </c>
      <c r="F196" s="28">
        <v>3500</v>
      </c>
      <c r="G196" s="28">
        <v>3500</v>
      </c>
    </row>
    <row r="197" spans="1:7">
      <c r="A197" s="54" t="s">
        <v>24</v>
      </c>
      <c r="B197" s="54" t="s">
        <v>54</v>
      </c>
      <c r="C197" s="54" t="s">
        <v>72</v>
      </c>
      <c r="D197" s="54" t="s">
        <v>72</v>
      </c>
      <c r="E197" s="55" t="s">
        <v>31</v>
      </c>
      <c r="F197" s="28">
        <f t="shared" ref="F197:G202" si="66">F198</f>
        <v>3463.6</v>
      </c>
      <c r="G197" s="28">
        <f t="shared" si="66"/>
        <v>3463.6</v>
      </c>
    </row>
    <row r="198" spans="1:7" ht="47.25">
      <c r="A198" s="54" t="s">
        <v>24</v>
      </c>
      <c r="B198" s="54" t="s">
        <v>54</v>
      </c>
      <c r="C198" s="56">
        <v>1600000000</v>
      </c>
      <c r="D198" s="30"/>
      <c r="E198" s="55" t="s">
        <v>133</v>
      </c>
      <c r="F198" s="28">
        <f>F199+F212</f>
        <v>3463.6</v>
      </c>
      <c r="G198" s="28">
        <f>G199+G212</f>
        <v>3463.6</v>
      </c>
    </row>
    <row r="199" spans="1:7" ht="31.5">
      <c r="A199" s="54" t="s">
        <v>24</v>
      </c>
      <c r="B199" s="54" t="s">
        <v>54</v>
      </c>
      <c r="C199" s="56">
        <v>1610000000</v>
      </c>
      <c r="D199" s="54"/>
      <c r="E199" s="55" t="s">
        <v>273</v>
      </c>
      <c r="F199" s="28">
        <f>F200+F204+F208</f>
        <v>3442.7</v>
      </c>
      <c r="G199" s="28">
        <f t="shared" ref="G199" si="67">G200+G204+G208</f>
        <v>3442.7</v>
      </c>
    </row>
    <row r="200" spans="1:7" ht="47.25">
      <c r="A200" s="54" t="s">
        <v>24</v>
      </c>
      <c r="B200" s="54" t="s">
        <v>54</v>
      </c>
      <c r="C200" s="56">
        <v>1610100000</v>
      </c>
      <c r="D200" s="54"/>
      <c r="E200" s="55" t="s">
        <v>243</v>
      </c>
      <c r="F200" s="28">
        <f t="shared" si="66"/>
        <v>1917.7999999999997</v>
      </c>
      <c r="G200" s="28">
        <f t="shared" si="66"/>
        <v>1917.8</v>
      </c>
    </row>
    <row r="201" spans="1:7" ht="31.5">
      <c r="A201" s="54" t="s">
        <v>24</v>
      </c>
      <c r="B201" s="54" t="s">
        <v>54</v>
      </c>
      <c r="C201" s="56">
        <v>1610120010</v>
      </c>
      <c r="D201" s="54"/>
      <c r="E201" s="55" t="s">
        <v>144</v>
      </c>
      <c r="F201" s="28">
        <f t="shared" si="66"/>
        <v>1917.7999999999997</v>
      </c>
      <c r="G201" s="28">
        <f t="shared" si="66"/>
        <v>1917.8</v>
      </c>
    </row>
    <row r="202" spans="1:7" ht="31.5">
      <c r="A202" s="54" t="s">
        <v>24</v>
      </c>
      <c r="B202" s="54" t="s">
        <v>54</v>
      </c>
      <c r="C202" s="56">
        <v>1610120010</v>
      </c>
      <c r="D202" s="56" t="s">
        <v>109</v>
      </c>
      <c r="E202" s="55" t="s">
        <v>110</v>
      </c>
      <c r="F202" s="28">
        <f t="shared" si="66"/>
        <v>1917.7999999999997</v>
      </c>
      <c r="G202" s="28">
        <f t="shared" si="66"/>
        <v>1917.8</v>
      </c>
    </row>
    <row r="203" spans="1:7">
      <c r="A203" s="54" t="s">
        <v>24</v>
      </c>
      <c r="B203" s="54" t="s">
        <v>54</v>
      </c>
      <c r="C203" s="56">
        <v>1610120010</v>
      </c>
      <c r="D203" s="54">
        <v>610</v>
      </c>
      <c r="E203" s="55" t="s">
        <v>123</v>
      </c>
      <c r="F203" s="28">
        <f>2204.7-286.9</f>
        <v>1917.7999999999997</v>
      </c>
      <c r="G203" s="28">
        <v>1917.8</v>
      </c>
    </row>
    <row r="204" spans="1:7" ht="63">
      <c r="A204" s="54" t="s">
        <v>24</v>
      </c>
      <c r="B204" s="54" t="s">
        <v>54</v>
      </c>
      <c r="C204" s="56">
        <v>1610200000</v>
      </c>
      <c r="D204" s="54"/>
      <c r="E204" s="55" t="s">
        <v>284</v>
      </c>
      <c r="F204" s="28">
        <f>F205</f>
        <v>264.3</v>
      </c>
      <c r="G204" s="28">
        <f t="shared" ref="G204:G210" si="68">G205</f>
        <v>264.3</v>
      </c>
    </row>
    <row r="205" spans="1:7" ht="31.5">
      <c r="A205" s="54" t="s">
        <v>24</v>
      </c>
      <c r="B205" s="54" t="s">
        <v>54</v>
      </c>
      <c r="C205" s="56">
        <v>1610220030</v>
      </c>
      <c r="D205" s="54"/>
      <c r="E205" s="55" t="s">
        <v>280</v>
      </c>
      <c r="F205" s="28">
        <f>F206</f>
        <v>264.3</v>
      </c>
      <c r="G205" s="28">
        <f t="shared" si="68"/>
        <v>264.3</v>
      </c>
    </row>
    <row r="206" spans="1:7" ht="31.5">
      <c r="A206" s="54" t="s">
        <v>24</v>
      </c>
      <c r="B206" s="54" t="s">
        <v>54</v>
      </c>
      <c r="C206" s="56">
        <v>1610220030</v>
      </c>
      <c r="D206" s="56" t="s">
        <v>109</v>
      </c>
      <c r="E206" s="55" t="s">
        <v>110</v>
      </c>
      <c r="F206" s="28">
        <f>F207</f>
        <v>264.3</v>
      </c>
      <c r="G206" s="28">
        <f t="shared" si="68"/>
        <v>264.3</v>
      </c>
    </row>
    <row r="207" spans="1:7">
      <c r="A207" s="54" t="s">
        <v>24</v>
      </c>
      <c r="B207" s="54" t="s">
        <v>54</v>
      </c>
      <c r="C207" s="56">
        <v>1610220030</v>
      </c>
      <c r="D207" s="54">
        <v>610</v>
      </c>
      <c r="E207" s="55" t="s">
        <v>123</v>
      </c>
      <c r="F207" s="28">
        <f>518-253.7</f>
        <v>264.3</v>
      </c>
      <c r="G207" s="28">
        <v>264.3</v>
      </c>
    </row>
    <row r="208" spans="1:7" ht="31.5">
      <c r="A208" s="54" t="s">
        <v>24</v>
      </c>
      <c r="B208" s="54" t="s">
        <v>54</v>
      </c>
      <c r="C208" s="56">
        <v>1610300000</v>
      </c>
      <c r="D208" s="54"/>
      <c r="E208" s="55" t="s">
        <v>285</v>
      </c>
      <c r="F208" s="28">
        <f>F209</f>
        <v>1260.6000000000001</v>
      </c>
      <c r="G208" s="28">
        <f t="shared" ref="G208" si="69">G209</f>
        <v>1260.5999999999999</v>
      </c>
    </row>
    <row r="209" spans="1:7">
      <c r="A209" s="54" t="s">
        <v>24</v>
      </c>
      <c r="B209" s="54" t="s">
        <v>54</v>
      </c>
      <c r="C209" s="56">
        <v>1610320200</v>
      </c>
      <c r="D209" s="54"/>
      <c r="E209" s="144" t="s">
        <v>176</v>
      </c>
      <c r="F209" s="28">
        <f>F210</f>
        <v>1260.6000000000001</v>
      </c>
      <c r="G209" s="28">
        <f t="shared" si="68"/>
        <v>1260.5999999999999</v>
      </c>
    </row>
    <row r="210" spans="1:7" ht="31.5">
      <c r="A210" s="54" t="s">
        <v>24</v>
      </c>
      <c r="B210" s="54" t="s">
        <v>54</v>
      </c>
      <c r="C210" s="56">
        <v>1610320200</v>
      </c>
      <c r="D210" s="56" t="s">
        <v>109</v>
      </c>
      <c r="E210" s="55" t="s">
        <v>110</v>
      </c>
      <c r="F210" s="28">
        <f>F211</f>
        <v>1260.6000000000001</v>
      </c>
      <c r="G210" s="28">
        <f t="shared" si="68"/>
        <v>1260.5999999999999</v>
      </c>
    </row>
    <row r="211" spans="1:7">
      <c r="A211" s="54" t="s">
        <v>24</v>
      </c>
      <c r="B211" s="54" t="s">
        <v>54</v>
      </c>
      <c r="C211" s="56">
        <v>1610320200</v>
      </c>
      <c r="D211" s="54">
        <v>610</v>
      </c>
      <c r="E211" s="55" t="s">
        <v>123</v>
      </c>
      <c r="F211" s="28">
        <f>397.9-397.9+1000+397.9-1.7-135.6</f>
        <v>1260.6000000000001</v>
      </c>
      <c r="G211" s="28">
        <v>1260.5999999999999</v>
      </c>
    </row>
    <row r="212" spans="1:7" ht="47.25">
      <c r="A212" s="54" t="s">
        <v>24</v>
      </c>
      <c r="B212" s="54" t="s">
        <v>54</v>
      </c>
      <c r="C212" s="56">
        <v>1630000000</v>
      </c>
      <c r="D212" s="54"/>
      <c r="E212" s="74" t="s">
        <v>274</v>
      </c>
      <c r="F212" s="28">
        <f>F213</f>
        <v>20.899999999999991</v>
      </c>
      <c r="G212" s="28">
        <f t="shared" ref="G212" si="70">G213</f>
        <v>20.9</v>
      </c>
    </row>
    <row r="213" spans="1:7" ht="47.25">
      <c r="A213" s="54" t="s">
        <v>24</v>
      </c>
      <c r="B213" s="54" t="s">
        <v>54</v>
      </c>
      <c r="C213" s="54">
        <v>1630100000</v>
      </c>
      <c r="D213" s="54"/>
      <c r="E213" s="55" t="s">
        <v>275</v>
      </c>
      <c r="F213" s="28">
        <f>F214</f>
        <v>20.899999999999991</v>
      </c>
      <c r="G213" s="28">
        <f t="shared" ref="G213" si="71">G214</f>
        <v>20.9</v>
      </c>
    </row>
    <row r="214" spans="1:7" ht="47.25">
      <c r="A214" s="54" t="s">
        <v>24</v>
      </c>
      <c r="B214" s="54" t="s">
        <v>54</v>
      </c>
      <c r="C214" s="54">
        <v>1630120180</v>
      </c>
      <c r="D214" s="54"/>
      <c r="E214" s="55" t="s">
        <v>276</v>
      </c>
      <c r="F214" s="28">
        <f>F215</f>
        <v>20.899999999999991</v>
      </c>
      <c r="G214" s="28">
        <f t="shared" ref="G214:G215" si="72">G215</f>
        <v>20.9</v>
      </c>
    </row>
    <row r="215" spans="1:7" ht="31.5">
      <c r="A215" s="54" t="s">
        <v>24</v>
      </c>
      <c r="B215" s="54" t="s">
        <v>54</v>
      </c>
      <c r="C215" s="54">
        <v>1630120180</v>
      </c>
      <c r="D215" s="56" t="s">
        <v>109</v>
      </c>
      <c r="E215" s="55" t="s">
        <v>110</v>
      </c>
      <c r="F215" s="28">
        <f>F216</f>
        <v>20.899999999999991</v>
      </c>
      <c r="G215" s="28">
        <f t="shared" si="72"/>
        <v>20.9</v>
      </c>
    </row>
    <row r="216" spans="1:7">
      <c r="A216" s="54" t="s">
        <v>24</v>
      </c>
      <c r="B216" s="54" t="s">
        <v>54</v>
      </c>
      <c r="C216" s="54">
        <v>1630120180</v>
      </c>
      <c r="D216" s="54">
        <v>610</v>
      </c>
      <c r="E216" s="55" t="s">
        <v>123</v>
      </c>
      <c r="F216" s="28">
        <f>26.3+60-32.7-32.7</f>
        <v>20.899999999999991</v>
      </c>
      <c r="G216" s="28">
        <v>20.9</v>
      </c>
    </row>
    <row r="217" spans="1:7">
      <c r="A217" s="54" t="s">
        <v>24</v>
      </c>
      <c r="B217" s="54" t="s">
        <v>63</v>
      </c>
      <c r="C217" s="54" t="s">
        <v>72</v>
      </c>
      <c r="D217" s="54" t="s">
        <v>72</v>
      </c>
      <c r="E217" s="9" t="s">
        <v>32</v>
      </c>
      <c r="F217" s="28">
        <f>F231+F218</f>
        <v>91126.2</v>
      </c>
      <c r="G217" s="28">
        <f>G231+G218</f>
        <v>39681.800000000003</v>
      </c>
    </row>
    <row r="218" spans="1:7">
      <c r="A218" s="66" t="s">
        <v>24</v>
      </c>
      <c r="B218" s="29" t="s">
        <v>327</v>
      </c>
      <c r="C218" s="66"/>
      <c r="D218" s="66"/>
      <c r="E218" s="15" t="s">
        <v>328</v>
      </c>
      <c r="F218" s="28">
        <f>F219</f>
        <v>6128.8000000000011</v>
      </c>
      <c r="G218" s="28">
        <f t="shared" ref="G218" si="73">G219</f>
        <v>5625</v>
      </c>
    </row>
    <row r="219" spans="1:7" ht="47.25">
      <c r="A219" s="66" t="s">
        <v>24</v>
      </c>
      <c r="B219" s="29" t="s">
        <v>327</v>
      </c>
      <c r="C219" s="68">
        <v>1400000000</v>
      </c>
      <c r="D219" s="66"/>
      <c r="E219" s="67" t="s">
        <v>239</v>
      </c>
      <c r="F219" s="28">
        <f>F220</f>
        <v>6128.8000000000011</v>
      </c>
      <c r="G219" s="28">
        <f t="shared" ref="G219" si="74">G220</f>
        <v>5625</v>
      </c>
    </row>
    <row r="220" spans="1:7">
      <c r="A220" s="66" t="s">
        <v>24</v>
      </c>
      <c r="B220" s="29" t="s">
        <v>327</v>
      </c>
      <c r="C220" s="68">
        <v>1430000000</v>
      </c>
      <c r="D220" s="66"/>
      <c r="E220" s="9" t="s">
        <v>329</v>
      </c>
      <c r="F220" s="28">
        <f>F221</f>
        <v>6128.8000000000011</v>
      </c>
      <c r="G220" s="28">
        <f t="shared" ref="G220" si="75">G221</f>
        <v>5625</v>
      </c>
    </row>
    <row r="221" spans="1:7" ht="31.5">
      <c r="A221" s="66" t="s">
        <v>24</v>
      </c>
      <c r="B221" s="29" t="s">
        <v>327</v>
      </c>
      <c r="C221" s="66">
        <v>1430300000</v>
      </c>
      <c r="D221" s="66"/>
      <c r="E221" s="9" t="s">
        <v>330</v>
      </c>
      <c r="F221" s="28">
        <f>F228+F222+F225</f>
        <v>6128.8000000000011</v>
      </c>
      <c r="G221" s="28">
        <f t="shared" ref="G221" si="76">G228+G222+G225</f>
        <v>5625</v>
      </c>
    </row>
    <row r="222" spans="1:7" ht="31.5">
      <c r="A222" s="105" t="s">
        <v>24</v>
      </c>
      <c r="B222" s="29" t="s">
        <v>327</v>
      </c>
      <c r="C222" s="105">
        <v>1430310100</v>
      </c>
      <c r="D222" s="105"/>
      <c r="E222" s="72" t="s">
        <v>369</v>
      </c>
      <c r="F222" s="28">
        <f>F223</f>
        <v>4898.6000000000004</v>
      </c>
      <c r="G222" s="28">
        <f t="shared" ref="G222:G223" si="77">G223</f>
        <v>4495.5</v>
      </c>
    </row>
    <row r="223" spans="1:7" ht="31.5">
      <c r="A223" s="105" t="s">
        <v>24</v>
      </c>
      <c r="B223" s="29" t="s">
        <v>327</v>
      </c>
      <c r="C223" s="105">
        <v>1430310100</v>
      </c>
      <c r="D223" s="107" t="s">
        <v>78</v>
      </c>
      <c r="E223" s="106" t="s">
        <v>108</v>
      </c>
      <c r="F223" s="28">
        <f>F224</f>
        <v>4898.6000000000004</v>
      </c>
      <c r="G223" s="28">
        <f t="shared" si="77"/>
        <v>4495.5</v>
      </c>
    </row>
    <row r="224" spans="1:7">
      <c r="A224" s="105" t="s">
        <v>24</v>
      </c>
      <c r="B224" s="29" t="s">
        <v>327</v>
      </c>
      <c r="C224" s="105">
        <v>1430310100</v>
      </c>
      <c r="D224" s="107" t="s">
        <v>140</v>
      </c>
      <c r="E224" s="106" t="s">
        <v>141</v>
      </c>
      <c r="F224" s="28">
        <v>4898.6000000000004</v>
      </c>
      <c r="G224" s="28">
        <v>4495.5</v>
      </c>
    </row>
    <row r="225" spans="1:7">
      <c r="A225" s="182" t="s">
        <v>24</v>
      </c>
      <c r="B225" s="29" t="s">
        <v>327</v>
      </c>
      <c r="C225" s="182">
        <v>1430320100</v>
      </c>
      <c r="D225" s="182"/>
      <c r="E225" s="190" t="s">
        <v>447</v>
      </c>
      <c r="F225" s="28">
        <f>F226</f>
        <v>5.6</v>
      </c>
      <c r="G225" s="28">
        <f t="shared" ref="G225:G226" si="78">G226</f>
        <v>5.6</v>
      </c>
    </row>
    <row r="226" spans="1:7" ht="31.5">
      <c r="A226" s="182" t="s">
        <v>24</v>
      </c>
      <c r="B226" s="29" t="s">
        <v>327</v>
      </c>
      <c r="C226" s="182">
        <v>1430320100</v>
      </c>
      <c r="D226" s="184" t="s">
        <v>78</v>
      </c>
      <c r="E226" s="183" t="s">
        <v>108</v>
      </c>
      <c r="F226" s="28">
        <f>F227</f>
        <v>5.6</v>
      </c>
      <c r="G226" s="28">
        <f t="shared" si="78"/>
        <v>5.6</v>
      </c>
    </row>
    <row r="227" spans="1:7">
      <c r="A227" s="182" t="s">
        <v>24</v>
      </c>
      <c r="B227" s="29" t="s">
        <v>327</v>
      </c>
      <c r="C227" s="182">
        <v>1430320100</v>
      </c>
      <c r="D227" s="184" t="s">
        <v>140</v>
      </c>
      <c r="E227" s="183" t="s">
        <v>141</v>
      </c>
      <c r="F227" s="28">
        <v>5.6</v>
      </c>
      <c r="G227" s="28">
        <v>5.6</v>
      </c>
    </row>
    <row r="228" spans="1:7" ht="31.5">
      <c r="A228" s="66" t="s">
        <v>24</v>
      </c>
      <c r="B228" s="29" t="s">
        <v>327</v>
      </c>
      <c r="C228" s="66" t="s">
        <v>331</v>
      </c>
      <c r="D228" s="66"/>
      <c r="E228" s="72" t="s">
        <v>335</v>
      </c>
      <c r="F228" s="28">
        <f>F229</f>
        <v>1224.6000000000001</v>
      </c>
      <c r="G228" s="28">
        <f t="shared" ref="G228" si="79">G229</f>
        <v>1123.9000000000001</v>
      </c>
    </row>
    <row r="229" spans="1:7" ht="31.5">
      <c r="A229" s="66" t="s">
        <v>24</v>
      </c>
      <c r="B229" s="29" t="s">
        <v>327</v>
      </c>
      <c r="C229" s="66" t="s">
        <v>331</v>
      </c>
      <c r="D229" s="80" t="s">
        <v>78</v>
      </c>
      <c r="E229" s="79" t="s">
        <v>108</v>
      </c>
      <c r="F229" s="28">
        <f>F230</f>
        <v>1224.6000000000001</v>
      </c>
      <c r="G229" s="28">
        <f t="shared" ref="G229" si="80">G230</f>
        <v>1123.9000000000001</v>
      </c>
    </row>
    <row r="230" spans="1:7" ht="18.75" customHeight="1">
      <c r="A230" s="66" t="s">
        <v>24</v>
      </c>
      <c r="B230" s="29" t="s">
        <v>327</v>
      </c>
      <c r="C230" s="66" t="s">
        <v>331</v>
      </c>
      <c r="D230" s="80" t="s">
        <v>140</v>
      </c>
      <c r="E230" s="79" t="s">
        <v>141</v>
      </c>
      <c r="F230" s="28">
        <f>1199+25.7-0.1</f>
        <v>1224.6000000000001</v>
      </c>
      <c r="G230" s="28">
        <v>1123.9000000000001</v>
      </c>
    </row>
    <row r="231" spans="1:7">
      <c r="A231" s="54" t="s">
        <v>24</v>
      </c>
      <c r="B231" s="54" t="s">
        <v>55</v>
      </c>
      <c r="C231" s="54" t="s">
        <v>72</v>
      </c>
      <c r="D231" s="54" t="s">
        <v>72</v>
      </c>
      <c r="E231" s="55" t="s">
        <v>33</v>
      </c>
      <c r="F231" s="28">
        <f>F232</f>
        <v>84997.4</v>
      </c>
      <c r="G231" s="28">
        <f t="shared" ref="G231" si="81">G232</f>
        <v>34056.800000000003</v>
      </c>
    </row>
    <row r="232" spans="1:7" ht="47.25">
      <c r="A232" s="54" t="s">
        <v>24</v>
      </c>
      <c r="B232" s="54" t="s">
        <v>55</v>
      </c>
      <c r="C232" s="56">
        <v>1300000000</v>
      </c>
      <c r="D232" s="54"/>
      <c r="E232" s="94" t="s">
        <v>237</v>
      </c>
      <c r="F232" s="28">
        <f>F233+F251+F278</f>
        <v>84997.4</v>
      </c>
      <c r="G232" s="28">
        <f>G233+G251+G278</f>
        <v>34056.800000000003</v>
      </c>
    </row>
    <row r="233" spans="1:7" ht="47.25">
      <c r="A233" s="54" t="s">
        <v>24</v>
      </c>
      <c r="B233" s="54" t="s">
        <v>55</v>
      </c>
      <c r="C233" s="56">
        <v>1310000000</v>
      </c>
      <c r="D233" s="54"/>
      <c r="E233" s="55" t="s">
        <v>287</v>
      </c>
      <c r="F233" s="28">
        <f>F234+F241</f>
        <v>66119.399999999994</v>
      </c>
      <c r="G233" s="28">
        <f t="shared" ref="G233" si="82">G234+G241</f>
        <v>15493.2</v>
      </c>
    </row>
    <row r="234" spans="1:7" ht="31.5">
      <c r="A234" s="54" t="s">
        <v>24</v>
      </c>
      <c r="B234" s="54" t="s">
        <v>55</v>
      </c>
      <c r="C234" s="56">
        <v>1310100000</v>
      </c>
      <c r="D234" s="30"/>
      <c r="E234" s="143" t="s">
        <v>151</v>
      </c>
      <c r="F234" s="28">
        <f>F238+F235</f>
        <v>7414.5</v>
      </c>
      <c r="G234" s="28">
        <f>G238+G235</f>
        <v>7114.5</v>
      </c>
    </row>
    <row r="235" spans="1:7">
      <c r="A235" s="88" t="s">
        <v>24</v>
      </c>
      <c r="B235" s="88" t="s">
        <v>55</v>
      </c>
      <c r="C235" s="88">
        <v>1310120100</v>
      </c>
      <c r="D235" s="88"/>
      <c r="E235" s="51" t="s">
        <v>356</v>
      </c>
      <c r="F235" s="28">
        <f>F236</f>
        <v>223.70000000000002</v>
      </c>
      <c r="G235" s="28">
        <f t="shared" ref="G235:G236" si="83">G236</f>
        <v>67.900000000000006</v>
      </c>
    </row>
    <row r="236" spans="1:7" ht="31.5">
      <c r="A236" s="88" t="s">
        <v>24</v>
      </c>
      <c r="B236" s="88" t="s">
        <v>55</v>
      </c>
      <c r="C236" s="88">
        <v>1310120100</v>
      </c>
      <c r="D236" s="90" t="s">
        <v>75</v>
      </c>
      <c r="E236" s="89" t="s">
        <v>107</v>
      </c>
      <c r="F236" s="28">
        <f>F237</f>
        <v>223.70000000000002</v>
      </c>
      <c r="G236" s="28">
        <f t="shared" si="83"/>
        <v>67.900000000000006</v>
      </c>
    </row>
    <row r="237" spans="1:7" ht="31.15" customHeight="1">
      <c r="A237" s="88" t="s">
        <v>24</v>
      </c>
      <c r="B237" s="88" t="s">
        <v>55</v>
      </c>
      <c r="C237" s="88">
        <v>1310120100</v>
      </c>
      <c r="D237" s="88">
        <v>240</v>
      </c>
      <c r="E237" s="89" t="s">
        <v>441</v>
      </c>
      <c r="F237" s="28">
        <f>155.4+62.7+5.6</f>
        <v>223.70000000000002</v>
      </c>
      <c r="G237" s="28">
        <v>67.900000000000006</v>
      </c>
    </row>
    <row r="238" spans="1:7" ht="17.25" customHeight="1">
      <c r="A238" s="54" t="s">
        <v>24</v>
      </c>
      <c r="B238" s="54" t="s">
        <v>55</v>
      </c>
      <c r="C238" s="54" t="s">
        <v>152</v>
      </c>
      <c r="D238" s="54"/>
      <c r="E238" s="51" t="s">
        <v>336</v>
      </c>
      <c r="F238" s="28">
        <f>F239</f>
        <v>7190.8</v>
      </c>
      <c r="G238" s="28">
        <f t="shared" ref="G238:G239" si="84">G239</f>
        <v>7046.6</v>
      </c>
    </row>
    <row r="239" spans="1:7" ht="31.5">
      <c r="A239" s="54" t="s">
        <v>24</v>
      </c>
      <c r="B239" s="54" t="s">
        <v>55</v>
      </c>
      <c r="C239" s="54" t="s">
        <v>152</v>
      </c>
      <c r="D239" s="56" t="s">
        <v>75</v>
      </c>
      <c r="E239" s="55" t="s">
        <v>107</v>
      </c>
      <c r="F239" s="28">
        <f>F240</f>
        <v>7190.8</v>
      </c>
      <c r="G239" s="28">
        <f t="shared" si="84"/>
        <v>7046.6</v>
      </c>
    </row>
    <row r="240" spans="1:7" ht="33" customHeight="1">
      <c r="A240" s="54" t="s">
        <v>24</v>
      </c>
      <c r="B240" s="54" t="s">
        <v>55</v>
      </c>
      <c r="C240" s="54" t="s">
        <v>152</v>
      </c>
      <c r="D240" s="54">
        <v>240</v>
      </c>
      <c r="E240" s="178" t="s">
        <v>441</v>
      </c>
      <c r="F240" s="28">
        <f>487.8+6933.6+39.3-200.8-69.1</f>
        <v>7190.8</v>
      </c>
      <c r="G240" s="28">
        <v>7046.6</v>
      </c>
    </row>
    <row r="241" spans="1:7" ht="33.75" customHeight="1">
      <c r="A241" s="54" t="s">
        <v>24</v>
      </c>
      <c r="B241" s="54" t="s">
        <v>55</v>
      </c>
      <c r="C241" s="56">
        <v>1310200000</v>
      </c>
      <c r="D241" s="54"/>
      <c r="E241" s="143" t="s">
        <v>153</v>
      </c>
      <c r="F241" s="28">
        <f>F245+F242+F248</f>
        <v>58704.9</v>
      </c>
      <c r="G241" s="28">
        <f t="shared" ref="G241" si="85">G245+G242+G248</f>
        <v>8378.7000000000007</v>
      </c>
    </row>
    <row r="242" spans="1:7">
      <c r="A242" s="88" t="s">
        <v>24</v>
      </c>
      <c r="B242" s="88" t="s">
        <v>55</v>
      </c>
      <c r="C242" s="88">
        <v>1310220100</v>
      </c>
      <c r="D242" s="88"/>
      <c r="E242" s="51" t="s">
        <v>356</v>
      </c>
      <c r="F242" s="28">
        <f>F243</f>
        <v>112.70000000000002</v>
      </c>
      <c r="G242" s="28">
        <f t="shared" ref="G242:G243" si="86">G243</f>
        <v>0</v>
      </c>
    </row>
    <row r="243" spans="1:7" ht="31.5">
      <c r="A243" s="88" t="s">
        <v>24</v>
      </c>
      <c r="B243" s="88" t="s">
        <v>55</v>
      </c>
      <c r="C243" s="88">
        <v>1310220100</v>
      </c>
      <c r="D243" s="90" t="s">
        <v>75</v>
      </c>
      <c r="E243" s="89" t="s">
        <v>107</v>
      </c>
      <c r="F243" s="28">
        <f>F244</f>
        <v>112.70000000000002</v>
      </c>
      <c r="G243" s="28">
        <f t="shared" si="86"/>
        <v>0</v>
      </c>
    </row>
    <row r="244" spans="1:7" ht="36" customHeight="1">
      <c r="A244" s="88" t="s">
        <v>24</v>
      </c>
      <c r="B244" s="88" t="s">
        <v>55</v>
      </c>
      <c r="C244" s="91">
        <v>1310220100</v>
      </c>
      <c r="D244" s="88">
        <v>240</v>
      </c>
      <c r="E244" s="178" t="s">
        <v>441</v>
      </c>
      <c r="F244" s="28">
        <f>182.4-0.6+100-100-69.1</f>
        <v>112.70000000000002</v>
      </c>
      <c r="G244" s="28">
        <v>0</v>
      </c>
    </row>
    <row r="245" spans="1:7" ht="14.25" customHeight="1">
      <c r="A245" s="54" t="s">
        <v>24</v>
      </c>
      <c r="B245" s="54" t="s">
        <v>55</v>
      </c>
      <c r="C245" s="54" t="s">
        <v>154</v>
      </c>
      <c r="D245" s="54"/>
      <c r="E245" s="51" t="s">
        <v>336</v>
      </c>
      <c r="F245" s="28">
        <f>F246</f>
        <v>8592.2000000000007</v>
      </c>
      <c r="G245" s="28">
        <f t="shared" ref="G245:G246" si="87">G246</f>
        <v>8378.7000000000007</v>
      </c>
    </row>
    <row r="246" spans="1:7" ht="31.5">
      <c r="A246" s="54" t="s">
        <v>24</v>
      </c>
      <c r="B246" s="54" t="s">
        <v>55</v>
      </c>
      <c r="C246" s="54" t="s">
        <v>154</v>
      </c>
      <c r="D246" s="56" t="s">
        <v>75</v>
      </c>
      <c r="E246" s="55" t="s">
        <v>107</v>
      </c>
      <c r="F246" s="28">
        <f>F247</f>
        <v>8592.2000000000007</v>
      </c>
      <c r="G246" s="28">
        <f t="shared" si="87"/>
        <v>8378.7000000000007</v>
      </c>
    </row>
    <row r="247" spans="1:7" ht="34.15" customHeight="1">
      <c r="A247" s="54" t="s">
        <v>24</v>
      </c>
      <c r="B247" s="54" t="s">
        <v>55</v>
      </c>
      <c r="C247" s="54" t="s">
        <v>154</v>
      </c>
      <c r="D247" s="54">
        <v>240</v>
      </c>
      <c r="E247" s="178" t="s">
        <v>441</v>
      </c>
      <c r="F247" s="28">
        <f>136.2+8139.4+46.1+200.8+69.7</f>
        <v>8592.2000000000007</v>
      </c>
      <c r="G247" s="28">
        <v>8378.7000000000007</v>
      </c>
    </row>
    <row r="248" spans="1:7" ht="78.75">
      <c r="A248" s="179" t="s">
        <v>24</v>
      </c>
      <c r="B248" s="179" t="s">
        <v>55</v>
      </c>
      <c r="C248" s="179" t="s">
        <v>445</v>
      </c>
      <c r="D248" s="179"/>
      <c r="E248" s="180" t="s">
        <v>446</v>
      </c>
      <c r="F248" s="28">
        <f>F249</f>
        <v>50000</v>
      </c>
      <c r="G248" s="28">
        <f t="shared" ref="G248:G249" si="88">G249</f>
        <v>0</v>
      </c>
    </row>
    <row r="249" spans="1:7" ht="34.15" customHeight="1">
      <c r="A249" s="179" t="s">
        <v>24</v>
      </c>
      <c r="B249" s="179" t="s">
        <v>55</v>
      </c>
      <c r="C249" s="179" t="s">
        <v>445</v>
      </c>
      <c r="D249" s="181" t="s">
        <v>75</v>
      </c>
      <c r="E249" s="180" t="s">
        <v>107</v>
      </c>
      <c r="F249" s="28">
        <f>F250</f>
        <v>50000</v>
      </c>
      <c r="G249" s="28">
        <f t="shared" si="88"/>
        <v>0</v>
      </c>
    </row>
    <row r="250" spans="1:7" ht="34.15" customHeight="1">
      <c r="A250" s="179" t="s">
        <v>24</v>
      </c>
      <c r="B250" s="179" t="s">
        <v>55</v>
      </c>
      <c r="C250" s="179" t="s">
        <v>445</v>
      </c>
      <c r="D250" s="179">
        <v>240</v>
      </c>
      <c r="E250" s="180" t="s">
        <v>441</v>
      </c>
      <c r="F250" s="28">
        <v>50000</v>
      </c>
      <c r="G250" s="28">
        <v>0</v>
      </c>
    </row>
    <row r="251" spans="1:7">
      <c r="A251" s="54" t="s">
        <v>24</v>
      </c>
      <c r="B251" s="54" t="s">
        <v>55</v>
      </c>
      <c r="C251" s="56">
        <v>1320000000</v>
      </c>
      <c r="D251" s="54"/>
      <c r="E251" s="55" t="s">
        <v>244</v>
      </c>
      <c r="F251" s="28">
        <f>F252+F262</f>
        <v>18612.199999999997</v>
      </c>
      <c r="G251" s="28">
        <f t="shared" ref="G251" si="89">G252+G262</f>
        <v>18297.8</v>
      </c>
    </row>
    <row r="252" spans="1:7" ht="31.5">
      <c r="A252" s="54" t="s">
        <v>24</v>
      </c>
      <c r="B252" s="54" t="s">
        <v>55</v>
      </c>
      <c r="C252" s="56">
        <v>1320100000</v>
      </c>
      <c r="D252" s="54"/>
      <c r="E252" s="92" t="s">
        <v>245</v>
      </c>
      <c r="F252" s="28">
        <f>F259+F253+F256</f>
        <v>2712.6</v>
      </c>
      <c r="G252" s="28">
        <f t="shared" ref="G252" si="90">G259+G253+G256</f>
        <v>2548.7000000000003</v>
      </c>
    </row>
    <row r="253" spans="1:7" ht="31.5">
      <c r="A253" s="81" t="s">
        <v>24</v>
      </c>
      <c r="B253" s="81" t="s">
        <v>55</v>
      </c>
      <c r="C253" s="81">
        <v>1320110430</v>
      </c>
      <c r="D253" s="81"/>
      <c r="E253" s="82" t="s">
        <v>344</v>
      </c>
      <c r="F253" s="28">
        <f>F254</f>
        <v>1162</v>
      </c>
      <c r="G253" s="28">
        <f t="shared" ref="G253:G254" si="91">G254</f>
        <v>998.1</v>
      </c>
    </row>
    <row r="254" spans="1:7" ht="31.5">
      <c r="A254" s="81" t="s">
        <v>24</v>
      </c>
      <c r="B254" s="81" t="s">
        <v>55</v>
      </c>
      <c r="C254" s="81">
        <v>1320110430</v>
      </c>
      <c r="D254" s="83" t="s">
        <v>75</v>
      </c>
      <c r="E254" s="82" t="s">
        <v>107</v>
      </c>
      <c r="F254" s="28">
        <f>F255</f>
        <v>1162</v>
      </c>
      <c r="G254" s="28">
        <f t="shared" si="91"/>
        <v>998.1</v>
      </c>
    </row>
    <row r="255" spans="1:7" ht="36" customHeight="1">
      <c r="A255" s="81" t="s">
        <v>24</v>
      </c>
      <c r="B255" s="81" t="s">
        <v>55</v>
      </c>
      <c r="C255" s="81">
        <v>1320110430</v>
      </c>
      <c r="D255" s="81">
        <v>240</v>
      </c>
      <c r="E255" s="178" t="s">
        <v>441</v>
      </c>
      <c r="F255" s="28">
        <v>1162</v>
      </c>
      <c r="G255" s="28">
        <v>998.1</v>
      </c>
    </row>
    <row r="256" spans="1:7" ht="14.25" customHeight="1">
      <c r="A256" s="91" t="s">
        <v>24</v>
      </c>
      <c r="B256" s="91" t="s">
        <v>55</v>
      </c>
      <c r="C256" s="91">
        <v>1320120100</v>
      </c>
      <c r="D256" s="91"/>
      <c r="E256" s="92" t="s">
        <v>356</v>
      </c>
      <c r="F256" s="28">
        <f>F257</f>
        <v>53.400000000000006</v>
      </c>
      <c r="G256" s="28">
        <f t="shared" ref="G256:G257" si="92">G257</f>
        <v>53.4</v>
      </c>
    </row>
    <row r="257" spans="1:7" ht="33.75" customHeight="1">
      <c r="A257" s="91" t="s">
        <v>24</v>
      </c>
      <c r="B257" s="91" t="s">
        <v>55</v>
      </c>
      <c r="C257" s="91">
        <v>1320120100</v>
      </c>
      <c r="D257" s="93" t="s">
        <v>75</v>
      </c>
      <c r="E257" s="92" t="s">
        <v>107</v>
      </c>
      <c r="F257" s="28">
        <f>F258</f>
        <v>53.400000000000006</v>
      </c>
      <c r="G257" s="28">
        <f t="shared" si="92"/>
        <v>53.4</v>
      </c>
    </row>
    <row r="258" spans="1:7" ht="30.75" customHeight="1">
      <c r="A258" s="91" t="s">
        <v>24</v>
      </c>
      <c r="B258" s="91" t="s">
        <v>55</v>
      </c>
      <c r="C258" s="91">
        <v>1320120100</v>
      </c>
      <c r="D258" s="91">
        <v>240</v>
      </c>
      <c r="E258" s="178" t="s">
        <v>441</v>
      </c>
      <c r="F258" s="28">
        <f>62.2-8.8</f>
        <v>53.400000000000006</v>
      </c>
      <c r="G258" s="28">
        <v>53.4</v>
      </c>
    </row>
    <row r="259" spans="1:7" ht="31.5">
      <c r="A259" s="54" t="s">
        <v>24</v>
      </c>
      <c r="B259" s="54" t="s">
        <v>55</v>
      </c>
      <c r="C259" s="91" t="s">
        <v>155</v>
      </c>
      <c r="D259" s="54"/>
      <c r="E259" s="51" t="s">
        <v>311</v>
      </c>
      <c r="F259" s="28">
        <f>F260</f>
        <v>1497.2</v>
      </c>
      <c r="G259" s="28">
        <f t="shared" ref="G259:G260" si="93">G260</f>
        <v>1497.2</v>
      </c>
    </row>
    <row r="260" spans="1:7" ht="31.5">
      <c r="A260" s="54" t="s">
        <v>24</v>
      </c>
      <c r="B260" s="54" t="s">
        <v>55</v>
      </c>
      <c r="C260" s="54" t="s">
        <v>155</v>
      </c>
      <c r="D260" s="56" t="s">
        <v>75</v>
      </c>
      <c r="E260" s="55" t="s">
        <v>107</v>
      </c>
      <c r="F260" s="28">
        <f>F261</f>
        <v>1497.2</v>
      </c>
      <c r="G260" s="28">
        <f t="shared" si="93"/>
        <v>1497.2</v>
      </c>
    </row>
    <row r="261" spans="1:7" ht="33" customHeight="1">
      <c r="A261" s="54" t="s">
        <v>24</v>
      </c>
      <c r="B261" s="54" t="s">
        <v>55</v>
      </c>
      <c r="C261" s="54" t="s">
        <v>155</v>
      </c>
      <c r="D261" s="54">
        <v>240</v>
      </c>
      <c r="E261" s="178" t="s">
        <v>441</v>
      </c>
      <c r="F261" s="28">
        <f>974.2+341+450+40-62.2-167.7-78.1</f>
        <v>1497.2</v>
      </c>
      <c r="G261" s="28">
        <v>1497.2</v>
      </c>
    </row>
    <row r="262" spans="1:7">
      <c r="A262" s="54" t="s">
        <v>24</v>
      </c>
      <c r="B262" s="54" t="s">
        <v>55</v>
      </c>
      <c r="C262" s="56">
        <v>1320200000</v>
      </c>
      <c r="D262" s="54"/>
      <c r="E262" s="55" t="s">
        <v>156</v>
      </c>
      <c r="F262" s="28">
        <f>F263+F266+F269+F272+F275</f>
        <v>15899.599999999999</v>
      </c>
      <c r="G262" s="28">
        <f>G263+G266+G269+G272+G275</f>
        <v>15749.099999999999</v>
      </c>
    </row>
    <row r="263" spans="1:7">
      <c r="A263" s="54" t="s">
        <v>24</v>
      </c>
      <c r="B263" s="54" t="s">
        <v>55</v>
      </c>
      <c r="C263" s="54">
        <v>1320220050</v>
      </c>
      <c r="D263" s="54"/>
      <c r="E263" s="55" t="s">
        <v>157</v>
      </c>
      <c r="F263" s="28">
        <f>F264</f>
        <v>13404</v>
      </c>
      <c r="G263" s="28">
        <f t="shared" ref="G263:G264" si="94">G264</f>
        <v>13404</v>
      </c>
    </row>
    <row r="264" spans="1:7" ht="31.5">
      <c r="A264" s="54" t="s">
        <v>24</v>
      </c>
      <c r="B264" s="54" t="s">
        <v>55</v>
      </c>
      <c r="C264" s="54">
        <v>1320220050</v>
      </c>
      <c r="D264" s="56" t="s">
        <v>75</v>
      </c>
      <c r="E264" s="55" t="s">
        <v>107</v>
      </c>
      <c r="F264" s="28">
        <f>F265</f>
        <v>13404</v>
      </c>
      <c r="G264" s="28">
        <f t="shared" si="94"/>
        <v>13404</v>
      </c>
    </row>
    <row r="265" spans="1:7" ht="31.15" customHeight="1">
      <c r="A265" s="54" t="s">
        <v>24</v>
      </c>
      <c r="B265" s="54" t="s">
        <v>55</v>
      </c>
      <c r="C265" s="54">
        <v>1320220050</v>
      </c>
      <c r="D265" s="54">
        <v>240</v>
      </c>
      <c r="E265" s="178" t="s">
        <v>441</v>
      </c>
      <c r="F265" s="28">
        <f>11166+2520.9-282.9</f>
        <v>13404</v>
      </c>
      <c r="G265" s="28">
        <v>13404</v>
      </c>
    </row>
    <row r="266" spans="1:7">
      <c r="A266" s="54" t="s">
        <v>24</v>
      </c>
      <c r="B266" s="54" t="s">
        <v>55</v>
      </c>
      <c r="C266" s="54">
        <v>1320220060</v>
      </c>
      <c r="D266" s="54"/>
      <c r="E266" s="55" t="s">
        <v>158</v>
      </c>
      <c r="F266" s="28">
        <f>F267</f>
        <v>193</v>
      </c>
      <c r="G266" s="28">
        <f t="shared" ref="G266:G267" si="95">G267</f>
        <v>43.3</v>
      </c>
    </row>
    <row r="267" spans="1:7" ht="31.5">
      <c r="A267" s="54" t="s">
        <v>24</v>
      </c>
      <c r="B267" s="54" t="s">
        <v>55</v>
      </c>
      <c r="C267" s="54">
        <v>1320220060</v>
      </c>
      <c r="D267" s="56" t="s">
        <v>75</v>
      </c>
      <c r="E267" s="55" t="s">
        <v>107</v>
      </c>
      <c r="F267" s="28">
        <f>F268</f>
        <v>193</v>
      </c>
      <c r="G267" s="28">
        <f t="shared" si="95"/>
        <v>43.3</v>
      </c>
    </row>
    <row r="268" spans="1:7" ht="32.450000000000003" customHeight="1">
      <c r="A268" s="54" t="s">
        <v>24</v>
      </c>
      <c r="B268" s="54" t="s">
        <v>55</v>
      </c>
      <c r="C268" s="54">
        <v>1320220060</v>
      </c>
      <c r="D268" s="54">
        <v>240</v>
      </c>
      <c r="E268" s="178" t="s">
        <v>441</v>
      </c>
      <c r="F268" s="28">
        <f>276-83</f>
        <v>193</v>
      </c>
      <c r="G268" s="28">
        <v>43.3</v>
      </c>
    </row>
    <row r="269" spans="1:7">
      <c r="A269" s="54" t="s">
        <v>24</v>
      </c>
      <c r="B269" s="54" t="s">
        <v>55</v>
      </c>
      <c r="C269" s="54">
        <v>1320220070</v>
      </c>
      <c r="D269" s="54"/>
      <c r="E269" s="55" t="s">
        <v>159</v>
      </c>
      <c r="F269" s="28">
        <f>F270</f>
        <v>2113.9</v>
      </c>
      <c r="G269" s="28">
        <f t="shared" ref="G269:G270" si="96">G270</f>
        <v>2113.9</v>
      </c>
    </row>
    <row r="270" spans="1:7" ht="31.5">
      <c r="A270" s="54" t="s">
        <v>24</v>
      </c>
      <c r="B270" s="54" t="s">
        <v>55</v>
      </c>
      <c r="C270" s="54">
        <v>1320220070</v>
      </c>
      <c r="D270" s="56" t="s">
        <v>75</v>
      </c>
      <c r="E270" s="55" t="s">
        <v>107</v>
      </c>
      <c r="F270" s="28">
        <f>F271</f>
        <v>2113.9</v>
      </c>
      <c r="G270" s="28">
        <f t="shared" si="96"/>
        <v>2113.9</v>
      </c>
    </row>
    <row r="271" spans="1:7" ht="34.9" customHeight="1">
      <c r="A271" s="54" t="s">
        <v>24</v>
      </c>
      <c r="B271" s="54" t="s">
        <v>55</v>
      </c>
      <c r="C271" s="54">
        <v>1320220070</v>
      </c>
      <c r="D271" s="54">
        <v>240</v>
      </c>
      <c r="E271" s="178" t="s">
        <v>441</v>
      </c>
      <c r="F271" s="28">
        <f>1625.1+497-8.2</f>
        <v>2113.9</v>
      </c>
      <c r="G271" s="28">
        <v>2113.9</v>
      </c>
    </row>
    <row r="272" spans="1:7">
      <c r="A272" s="54" t="s">
        <v>24</v>
      </c>
      <c r="B272" s="54" t="s">
        <v>55</v>
      </c>
      <c r="C272" s="54">
        <v>1320220080</v>
      </c>
      <c r="D272" s="54"/>
      <c r="E272" s="55" t="s">
        <v>160</v>
      </c>
      <c r="F272" s="28">
        <f>F273</f>
        <v>145.9</v>
      </c>
      <c r="G272" s="28">
        <f t="shared" ref="G272:G273" si="97">G273</f>
        <v>145.9</v>
      </c>
    </row>
    <row r="273" spans="1:7" ht="31.5">
      <c r="A273" s="54" t="s">
        <v>24</v>
      </c>
      <c r="B273" s="54" t="s">
        <v>55</v>
      </c>
      <c r="C273" s="54">
        <v>1320220080</v>
      </c>
      <c r="D273" s="56" t="s">
        <v>75</v>
      </c>
      <c r="E273" s="55" t="s">
        <v>107</v>
      </c>
      <c r="F273" s="28">
        <f>F274</f>
        <v>145.9</v>
      </c>
      <c r="G273" s="28">
        <f t="shared" si="97"/>
        <v>145.9</v>
      </c>
    </row>
    <row r="274" spans="1:7" ht="31.15" customHeight="1">
      <c r="A274" s="54" t="s">
        <v>24</v>
      </c>
      <c r="B274" s="54" t="s">
        <v>55</v>
      </c>
      <c r="C274" s="54">
        <v>1320220080</v>
      </c>
      <c r="D274" s="54">
        <v>240</v>
      </c>
      <c r="E274" s="178" t="s">
        <v>441</v>
      </c>
      <c r="F274" s="28">
        <v>145.9</v>
      </c>
      <c r="G274" s="28">
        <v>145.9</v>
      </c>
    </row>
    <row r="275" spans="1:7" ht="31.15" customHeight="1">
      <c r="A275" s="146" t="s">
        <v>24</v>
      </c>
      <c r="B275" s="146" t="s">
        <v>55</v>
      </c>
      <c r="C275" s="146">
        <v>1320220090</v>
      </c>
      <c r="D275" s="152"/>
      <c r="E275" s="153" t="s">
        <v>421</v>
      </c>
      <c r="F275" s="28">
        <f>F276</f>
        <v>42.8</v>
      </c>
      <c r="G275" s="28">
        <f t="shared" ref="G275:G276" si="98">G276</f>
        <v>42</v>
      </c>
    </row>
    <row r="276" spans="1:7" ht="31.15" customHeight="1">
      <c r="A276" s="146" t="s">
        <v>24</v>
      </c>
      <c r="B276" s="146" t="s">
        <v>55</v>
      </c>
      <c r="C276" s="146">
        <v>1320220090</v>
      </c>
      <c r="D276" s="148" t="s">
        <v>75</v>
      </c>
      <c r="E276" s="147" t="s">
        <v>107</v>
      </c>
      <c r="F276" s="28">
        <f>F277</f>
        <v>42.8</v>
      </c>
      <c r="G276" s="28">
        <f t="shared" si="98"/>
        <v>42</v>
      </c>
    </row>
    <row r="277" spans="1:7" ht="31.15" customHeight="1">
      <c r="A277" s="146" t="s">
        <v>24</v>
      </c>
      <c r="B277" s="146" t="s">
        <v>55</v>
      </c>
      <c r="C277" s="146">
        <v>1320220090</v>
      </c>
      <c r="D277" s="146">
        <v>240</v>
      </c>
      <c r="E277" s="178" t="s">
        <v>441</v>
      </c>
      <c r="F277" s="28">
        <f>42+0.8</f>
        <v>42.8</v>
      </c>
      <c r="G277" s="28">
        <v>42</v>
      </c>
    </row>
    <row r="278" spans="1:7" ht="17.45" customHeight="1">
      <c r="A278" s="54" t="s">
        <v>24</v>
      </c>
      <c r="B278" s="54" t="s">
        <v>55</v>
      </c>
      <c r="C278" s="56">
        <v>1330000000</v>
      </c>
      <c r="D278" s="54"/>
      <c r="E278" s="55" t="s">
        <v>145</v>
      </c>
      <c r="F278" s="28">
        <f>F279</f>
        <v>265.8</v>
      </c>
      <c r="G278" s="28">
        <f t="shared" ref="G278:G281" si="99">G279</f>
        <v>265.8</v>
      </c>
    </row>
    <row r="279" spans="1:7" ht="47.25">
      <c r="A279" s="54" t="s">
        <v>24</v>
      </c>
      <c r="B279" s="54" t="s">
        <v>55</v>
      </c>
      <c r="C279" s="56">
        <v>1330200000</v>
      </c>
      <c r="D279" s="54"/>
      <c r="E279" s="55" t="s">
        <v>288</v>
      </c>
      <c r="F279" s="28">
        <f>F280</f>
        <v>265.8</v>
      </c>
      <c r="G279" s="28">
        <f t="shared" si="99"/>
        <v>265.8</v>
      </c>
    </row>
    <row r="280" spans="1:7">
      <c r="A280" s="54" t="s">
        <v>24</v>
      </c>
      <c r="B280" s="54" t="s">
        <v>55</v>
      </c>
      <c r="C280" s="56">
        <v>1330220090</v>
      </c>
      <c r="D280" s="54"/>
      <c r="E280" s="55" t="s">
        <v>161</v>
      </c>
      <c r="F280" s="28">
        <f>F281</f>
        <v>265.8</v>
      </c>
      <c r="G280" s="28">
        <f t="shared" si="99"/>
        <v>265.8</v>
      </c>
    </row>
    <row r="281" spans="1:7" ht="31.5">
      <c r="A281" s="54" t="s">
        <v>24</v>
      </c>
      <c r="B281" s="54" t="s">
        <v>55</v>
      </c>
      <c r="C281" s="56">
        <v>1330220090</v>
      </c>
      <c r="D281" s="56" t="s">
        <v>75</v>
      </c>
      <c r="E281" s="55" t="s">
        <v>107</v>
      </c>
      <c r="F281" s="28">
        <f>F282</f>
        <v>265.8</v>
      </c>
      <c r="G281" s="28">
        <f t="shared" si="99"/>
        <v>265.8</v>
      </c>
    </row>
    <row r="282" spans="1:7" ht="31.15" customHeight="1">
      <c r="A282" s="54" t="s">
        <v>24</v>
      </c>
      <c r="B282" s="54" t="s">
        <v>55</v>
      </c>
      <c r="C282" s="56">
        <v>1330220090</v>
      </c>
      <c r="D282" s="54">
        <v>240</v>
      </c>
      <c r="E282" s="178" t="s">
        <v>441</v>
      </c>
      <c r="F282" s="28">
        <v>265.8</v>
      </c>
      <c r="G282" s="28">
        <v>265.8</v>
      </c>
    </row>
    <row r="283" spans="1:7">
      <c r="A283" s="54" t="s">
        <v>24</v>
      </c>
      <c r="B283" s="54" t="s">
        <v>42</v>
      </c>
      <c r="C283" s="54" t="s">
        <v>72</v>
      </c>
      <c r="D283" s="54" t="s">
        <v>72</v>
      </c>
      <c r="E283" s="55" t="s">
        <v>34</v>
      </c>
      <c r="F283" s="28">
        <f>F284+F322+F315</f>
        <v>30997.100000000002</v>
      </c>
      <c r="G283" s="28">
        <f>G284+G322+G315</f>
        <v>30975.200000000001</v>
      </c>
    </row>
    <row r="284" spans="1:7">
      <c r="A284" s="10" t="s">
        <v>24</v>
      </c>
      <c r="B284" s="10" t="s">
        <v>100</v>
      </c>
      <c r="C284" s="11"/>
      <c r="D284" s="11"/>
      <c r="E284" s="55" t="s">
        <v>101</v>
      </c>
      <c r="F284" s="28">
        <f>F285+F310</f>
        <v>30375.200000000001</v>
      </c>
      <c r="G284" s="28">
        <f>G285+G310</f>
        <v>30353.3</v>
      </c>
    </row>
    <row r="285" spans="1:7" ht="37.9" customHeight="1">
      <c r="A285" s="10" t="s">
        <v>24</v>
      </c>
      <c r="B285" s="54" t="s">
        <v>100</v>
      </c>
      <c r="C285" s="56">
        <v>1100000000</v>
      </c>
      <c r="D285" s="54"/>
      <c r="E285" s="55" t="s">
        <v>236</v>
      </c>
      <c r="F285" s="28">
        <f t="shared" ref="F285:G295" si="100">F286</f>
        <v>29945.200000000001</v>
      </c>
      <c r="G285" s="28">
        <f t="shared" si="100"/>
        <v>29923.3</v>
      </c>
    </row>
    <row r="286" spans="1:7">
      <c r="A286" s="10" t="s">
        <v>24</v>
      </c>
      <c r="B286" s="54" t="s">
        <v>100</v>
      </c>
      <c r="C286" s="56">
        <v>1120000000</v>
      </c>
      <c r="D286" s="54"/>
      <c r="E286" s="55" t="s">
        <v>142</v>
      </c>
      <c r="F286" s="28">
        <f>F287+F303</f>
        <v>29945.200000000001</v>
      </c>
      <c r="G286" s="28">
        <f t="shared" ref="G286" si="101">G287+G303</f>
        <v>29923.3</v>
      </c>
    </row>
    <row r="287" spans="1:7" ht="47.25">
      <c r="A287" s="10" t="s">
        <v>24</v>
      </c>
      <c r="B287" s="54" t="s">
        <v>100</v>
      </c>
      <c r="C287" s="56">
        <v>1120100000</v>
      </c>
      <c r="D287" s="54"/>
      <c r="E287" s="55" t="s">
        <v>143</v>
      </c>
      <c r="F287" s="28">
        <f>F294+F291+F300+F288+F297</f>
        <v>29127.600000000002</v>
      </c>
      <c r="G287" s="28">
        <f t="shared" ref="G287" si="102">G294+G291+G300+G288+G297</f>
        <v>29127.7</v>
      </c>
    </row>
    <row r="288" spans="1:7" ht="51" customHeight="1">
      <c r="A288" s="10" t="s">
        <v>24</v>
      </c>
      <c r="B288" s="81" t="s">
        <v>100</v>
      </c>
      <c r="C288" s="11" t="s">
        <v>350</v>
      </c>
      <c r="D288" s="13"/>
      <c r="E288" s="9" t="s">
        <v>349</v>
      </c>
      <c r="F288" s="28">
        <f>F289</f>
        <v>963.90000000000009</v>
      </c>
      <c r="G288" s="28">
        <f t="shared" ref="G288:G289" si="103">G289</f>
        <v>963.9</v>
      </c>
    </row>
    <row r="289" spans="1:7" ht="31.5">
      <c r="A289" s="10" t="s">
        <v>24</v>
      </c>
      <c r="B289" s="81" t="s">
        <v>100</v>
      </c>
      <c r="C289" s="11" t="s">
        <v>350</v>
      </c>
      <c r="D289" s="83" t="s">
        <v>109</v>
      </c>
      <c r="E289" s="82" t="s">
        <v>110</v>
      </c>
      <c r="F289" s="28">
        <f>F290</f>
        <v>963.90000000000009</v>
      </c>
      <c r="G289" s="28">
        <f t="shared" si="103"/>
        <v>963.9</v>
      </c>
    </row>
    <row r="290" spans="1:7">
      <c r="A290" s="10" t="s">
        <v>24</v>
      </c>
      <c r="B290" s="81" t="s">
        <v>100</v>
      </c>
      <c r="C290" s="11" t="s">
        <v>350</v>
      </c>
      <c r="D290" s="81">
        <v>610</v>
      </c>
      <c r="E290" s="82" t="s">
        <v>123</v>
      </c>
      <c r="F290" s="28">
        <f>162.5+371.5+41.7+388.2</f>
        <v>963.90000000000009</v>
      </c>
      <c r="G290" s="28">
        <v>963.9</v>
      </c>
    </row>
    <row r="291" spans="1:7" ht="47.25">
      <c r="A291" s="54" t="s">
        <v>24</v>
      </c>
      <c r="B291" s="54" t="s">
        <v>100</v>
      </c>
      <c r="C291" s="54">
        <v>1120110690</v>
      </c>
      <c r="D291" s="54"/>
      <c r="E291" s="55" t="s">
        <v>303</v>
      </c>
      <c r="F291" s="28">
        <f>F292</f>
        <v>4240.7</v>
      </c>
      <c r="G291" s="28">
        <f t="shared" ref="G291:G292" si="104">G292</f>
        <v>4240.8</v>
      </c>
    </row>
    <row r="292" spans="1:7" ht="31.5">
      <c r="A292" s="10" t="s">
        <v>24</v>
      </c>
      <c r="B292" s="54" t="s">
        <v>100</v>
      </c>
      <c r="C292" s="54">
        <v>1120110690</v>
      </c>
      <c r="D292" s="56" t="s">
        <v>109</v>
      </c>
      <c r="E292" s="55" t="s">
        <v>110</v>
      </c>
      <c r="F292" s="28">
        <f>F293</f>
        <v>4240.7</v>
      </c>
      <c r="G292" s="28">
        <f t="shared" si="104"/>
        <v>4240.8</v>
      </c>
    </row>
    <row r="293" spans="1:7">
      <c r="A293" s="10" t="s">
        <v>24</v>
      </c>
      <c r="B293" s="54" t="s">
        <v>100</v>
      </c>
      <c r="C293" s="54">
        <v>1120110690</v>
      </c>
      <c r="D293" s="54">
        <v>610</v>
      </c>
      <c r="E293" s="55" t="s">
        <v>123</v>
      </c>
      <c r="F293" s="28">
        <f>1711.7+886+772.5+870.5</f>
        <v>4240.7</v>
      </c>
      <c r="G293" s="28">
        <v>4240.8</v>
      </c>
    </row>
    <row r="294" spans="1:7" ht="31.5">
      <c r="A294" s="10" t="s">
        <v>24</v>
      </c>
      <c r="B294" s="54" t="s">
        <v>100</v>
      </c>
      <c r="C294" s="56">
        <v>1120120010</v>
      </c>
      <c r="D294" s="54"/>
      <c r="E294" s="55" t="s">
        <v>144</v>
      </c>
      <c r="F294" s="28">
        <f t="shared" si="100"/>
        <v>23543</v>
      </c>
      <c r="G294" s="28">
        <f t="shared" si="100"/>
        <v>23543</v>
      </c>
    </row>
    <row r="295" spans="1:7" ht="31.5">
      <c r="A295" s="10" t="s">
        <v>24</v>
      </c>
      <c r="B295" s="54" t="s">
        <v>100</v>
      </c>
      <c r="C295" s="56">
        <v>1120120010</v>
      </c>
      <c r="D295" s="56" t="s">
        <v>109</v>
      </c>
      <c r="E295" s="55" t="s">
        <v>110</v>
      </c>
      <c r="F295" s="28">
        <f t="shared" si="100"/>
        <v>23543</v>
      </c>
      <c r="G295" s="28">
        <f t="shared" si="100"/>
        <v>23543</v>
      </c>
    </row>
    <row r="296" spans="1:7">
      <c r="A296" s="10" t="s">
        <v>24</v>
      </c>
      <c r="B296" s="54" t="s">
        <v>100</v>
      </c>
      <c r="C296" s="56">
        <v>1120120010</v>
      </c>
      <c r="D296" s="54">
        <v>610</v>
      </c>
      <c r="E296" s="55" t="s">
        <v>123</v>
      </c>
      <c r="F296" s="28">
        <f>15504.4-102.7+132.7+8298.6-16.3-4.2-46.4-132.1-52.2-38.8</f>
        <v>23543</v>
      </c>
      <c r="G296" s="28">
        <v>23543</v>
      </c>
    </row>
    <row r="297" spans="1:7" ht="50.25" customHeight="1">
      <c r="A297" s="10" t="s">
        <v>24</v>
      </c>
      <c r="B297" s="84" t="s">
        <v>100</v>
      </c>
      <c r="C297" s="11" t="s">
        <v>352</v>
      </c>
      <c r="D297" s="13"/>
      <c r="E297" s="9" t="s">
        <v>354</v>
      </c>
      <c r="F297" s="28">
        <f>F298</f>
        <v>96.5</v>
      </c>
      <c r="G297" s="28">
        <f t="shared" ref="G297:G298" si="105">G298</f>
        <v>96.5</v>
      </c>
    </row>
    <row r="298" spans="1:7" ht="31.5">
      <c r="A298" s="10" t="s">
        <v>24</v>
      </c>
      <c r="B298" s="84" t="s">
        <v>100</v>
      </c>
      <c r="C298" s="11" t="s">
        <v>352</v>
      </c>
      <c r="D298" s="86" t="s">
        <v>109</v>
      </c>
      <c r="E298" s="85" t="s">
        <v>110</v>
      </c>
      <c r="F298" s="28">
        <f>F299</f>
        <v>96.5</v>
      </c>
      <c r="G298" s="28">
        <f t="shared" si="105"/>
        <v>96.5</v>
      </c>
    </row>
    <row r="299" spans="1:7">
      <c r="A299" s="10" t="s">
        <v>24</v>
      </c>
      <c r="B299" s="84" t="s">
        <v>100</v>
      </c>
      <c r="C299" s="11" t="s">
        <v>352</v>
      </c>
      <c r="D299" s="84">
        <v>610</v>
      </c>
      <c r="E299" s="85" t="s">
        <v>123</v>
      </c>
      <c r="F299" s="28">
        <f>37.2+16.3+4.2+38.8</f>
        <v>96.5</v>
      </c>
      <c r="G299" s="28">
        <v>96.5</v>
      </c>
    </row>
    <row r="300" spans="1:7" ht="47.25">
      <c r="A300" s="10" t="s">
        <v>24</v>
      </c>
      <c r="B300" s="54" t="s">
        <v>100</v>
      </c>
      <c r="C300" s="54" t="s">
        <v>302</v>
      </c>
      <c r="D300" s="54"/>
      <c r="E300" s="85" t="s">
        <v>304</v>
      </c>
      <c r="F300" s="28">
        <f>F301</f>
        <v>283.5</v>
      </c>
      <c r="G300" s="28">
        <f t="shared" ref="G300:G301" si="106">G301</f>
        <v>283.5</v>
      </c>
    </row>
    <row r="301" spans="1:7" ht="31.5">
      <c r="A301" s="10" t="s">
        <v>24</v>
      </c>
      <c r="B301" s="54" t="s">
        <v>100</v>
      </c>
      <c r="C301" s="54" t="s">
        <v>302</v>
      </c>
      <c r="D301" s="56" t="s">
        <v>109</v>
      </c>
      <c r="E301" s="55" t="s">
        <v>110</v>
      </c>
      <c r="F301" s="28">
        <f>F302</f>
        <v>283.5</v>
      </c>
      <c r="G301" s="28">
        <f t="shared" si="106"/>
        <v>283.5</v>
      </c>
    </row>
    <row r="302" spans="1:7">
      <c r="A302" s="10" t="s">
        <v>24</v>
      </c>
      <c r="B302" s="54" t="s">
        <v>100</v>
      </c>
      <c r="C302" s="54" t="s">
        <v>302</v>
      </c>
      <c r="D302" s="54">
        <v>610</v>
      </c>
      <c r="E302" s="55" t="s">
        <v>123</v>
      </c>
      <c r="F302" s="28">
        <f>102.7+82.2+46.4+52.2</f>
        <v>283.5</v>
      </c>
      <c r="G302" s="28">
        <v>283.5</v>
      </c>
    </row>
    <row r="303" spans="1:7" ht="47.25">
      <c r="A303" s="10" t="s">
        <v>24</v>
      </c>
      <c r="B303" s="66" t="s">
        <v>100</v>
      </c>
      <c r="C303" s="66">
        <v>1120200000</v>
      </c>
      <c r="D303" s="66"/>
      <c r="E303" s="67" t="s">
        <v>279</v>
      </c>
      <c r="F303" s="28">
        <f>F307+F304</f>
        <v>817.6</v>
      </c>
      <c r="G303" s="28">
        <f>G307+G304</f>
        <v>795.6</v>
      </c>
    </row>
    <row r="304" spans="1:7" ht="31.5">
      <c r="A304" s="10" t="s">
        <v>24</v>
      </c>
      <c r="B304" s="81" t="s">
        <v>100</v>
      </c>
      <c r="C304" s="83">
        <v>1120220030</v>
      </c>
      <c r="D304" s="81"/>
      <c r="E304" s="82" t="s">
        <v>280</v>
      </c>
      <c r="F304" s="28">
        <f>F305</f>
        <v>418.5</v>
      </c>
      <c r="G304" s="28">
        <f t="shared" ref="G304:G305" si="107">G305</f>
        <v>418.5</v>
      </c>
    </row>
    <row r="305" spans="1:7" ht="31.5">
      <c r="A305" s="10" t="s">
        <v>24</v>
      </c>
      <c r="B305" s="81" t="s">
        <v>100</v>
      </c>
      <c r="C305" s="83">
        <v>1120220030</v>
      </c>
      <c r="D305" s="83" t="s">
        <v>109</v>
      </c>
      <c r="E305" s="82" t="s">
        <v>110</v>
      </c>
      <c r="F305" s="28">
        <f>F306</f>
        <v>418.5</v>
      </c>
      <c r="G305" s="28">
        <f t="shared" si="107"/>
        <v>418.5</v>
      </c>
    </row>
    <row r="306" spans="1:7">
      <c r="A306" s="10" t="s">
        <v>24</v>
      </c>
      <c r="B306" s="81" t="s">
        <v>100</v>
      </c>
      <c r="C306" s="83">
        <v>1120220030</v>
      </c>
      <c r="D306" s="81">
        <v>610</v>
      </c>
      <c r="E306" s="82" t="s">
        <v>123</v>
      </c>
      <c r="F306" s="28">
        <f>391.6+26.9</f>
        <v>418.5</v>
      </c>
      <c r="G306" s="28">
        <v>418.5</v>
      </c>
    </row>
    <row r="307" spans="1:7" ht="31.5">
      <c r="A307" s="10" t="s">
        <v>24</v>
      </c>
      <c r="B307" s="66" t="s">
        <v>100</v>
      </c>
      <c r="C307" s="66" t="s">
        <v>325</v>
      </c>
      <c r="D307" s="66"/>
      <c r="E307" s="67" t="s">
        <v>326</v>
      </c>
      <c r="F307" s="28">
        <f>F308</f>
        <v>399.1</v>
      </c>
      <c r="G307" s="28">
        <f t="shared" ref="G307:G308" si="108">G308</f>
        <v>377.1</v>
      </c>
    </row>
    <row r="308" spans="1:7" ht="31.5">
      <c r="A308" s="10" t="s">
        <v>24</v>
      </c>
      <c r="B308" s="66" t="s">
        <v>100</v>
      </c>
      <c r="C308" s="66" t="s">
        <v>325</v>
      </c>
      <c r="D308" s="68" t="s">
        <v>109</v>
      </c>
      <c r="E308" s="67" t="s">
        <v>110</v>
      </c>
      <c r="F308" s="28">
        <f>F309</f>
        <v>399.1</v>
      </c>
      <c r="G308" s="28">
        <f t="shared" si="108"/>
        <v>377.1</v>
      </c>
    </row>
    <row r="309" spans="1:7">
      <c r="A309" s="10" t="s">
        <v>24</v>
      </c>
      <c r="B309" s="66" t="s">
        <v>100</v>
      </c>
      <c r="C309" s="66" t="s">
        <v>325</v>
      </c>
      <c r="D309" s="66">
        <v>610</v>
      </c>
      <c r="E309" s="67" t="s">
        <v>123</v>
      </c>
      <c r="F309" s="28">
        <f>234.3+191.7-26.9</f>
        <v>399.1</v>
      </c>
      <c r="G309" s="28">
        <v>377.1</v>
      </c>
    </row>
    <row r="310" spans="1:7">
      <c r="A310" s="10" t="s">
        <v>24</v>
      </c>
      <c r="B310" s="105" t="s">
        <v>100</v>
      </c>
      <c r="C310" s="105">
        <v>9900000000</v>
      </c>
      <c r="D310" s="105"/>
      <c r="E310" s="106" t="s">
        <v>124</v>
      </c>
      <c r="F310" s="28">
        <f>F311</f>
        <v>430</v>
      </c>
      <c r="G310" s="28">
        <f t="shared" ref="G310:G313" si="109">G311</f>
        <v>430</v>
      </c>
    </row>
    <row r="311" spans="1:7" ht="47.25">
      <c r="A311" s="10" t="s">
        <v>24</v>
      </c>
      <c r="B311" s="105" t="s">
        <v>100</v>
      </c>
      <c r="C311" s="105">
        <v>9920000000</v>
      </c>
      <c r="D311" s="105"/>
      <c r="E311" s="106" t="s">
        <v>366</v>
      </c>
      <c r="F311" s="28">
        <f>F312</f>
        <v>430</v>
      </c>
      <c r="G311" s="28">
        <f t="shared" si="109"/>
        <v>430</v>
      </c>
    </row>
    <row r="312" spans="1:7" ht="35.25" customHeight="1">
      <c r="A312" s="10" t="s">
        <v>24</v>
      </c>
      <c r="B312" s="105" t="s">
        <v>100</v>
      </c>
      <c r="C312" s="105">
        <v>9920010920</v>
      </c>
      <c r="D312" s="105"/>
      <c r="E312" s="106" t="s">
        <v>367</v>
      </c>
      <c r="F312" s="28">
        <f>F313</f>
        <v>430</v>
      </c>
      <c r="G312" s="28">
        <f t="shared" si="109"/>
        <v>430</v>
      </c>
    </row>
    <row r="313" spans="1:7" ht="31.5">
      <c r="A313" s="10" t="s">
        <v>24</v>
      </c>
      <c r="B313" s="105" t="s">
        <v>100</v>
      </c>
      <c r="C313" s="105">
        <v>9920010920</v>
      </c>
      <c r="D313" s="107" t="s">
        <v>109</v>
      </c>
      <c r="E313" s="106" t="s">
        <v>110</v>
      </c>
      <c r="F313" s="28">
        <f>F314</f>
        <v>430</v>
      </c>
      <c r="G313" s="28">
        <f t="shared" si="109"/>
        <v>430</v>
      </c>
    </row>
    <row r="314" spans="1:7">
      <c r="A314" s="10" t="s">
        <v>24</v>
      </c>
      <c r="B314" s="105" t="s">
        <v>100</v>
      </c>
      <c r="C314" s="105">
        <v>9920010920</v>
      </c>
      <c r="D314" s="105">
        <v>610</v>
      </c>
      <c r="E314" s="106" t="s">
        <v>123</v>
      </c>
      <c r="F314" s="28">
        <v>430</v>
      </c>
      <c r="G314" s="28">
        <v>430</v>
      </c>
    </row>
    <row r="315" spans="1:7" ht="30" customHeight="1">
      <c r="A315" s="10" t="s">
        <v>24</v>
      </c>
      <c r="B315" s="29" t="s">
        <v>265</v>
      </c>
      <c r="C315" s="56"/>
      <c r="D315" s="54"/>
      <c r="E315" s="55" t="s">
        <v>442</v>
      </c>
      <c r="F315" s="28">
        <f t="shared" ref="F315:G320" si="110">F316</f>
        <v>183.9</v>
      </c>
      <c r="G315" s="28">
        <f t="shared" si="110"/>
        <v>183.9</v>
      </c>
    </row>
    <row r="316" spans="1:7" ht="47.25">
      <c r="A316" s="10" t="s">
        <v>24</v>
      </c>
      <c r="B316" s="29" t="s">
        <v>265</v>
      </c>
      <c r="C316" s="56">
        <v>1600000000</v>
      </c>
      <c r="D316" s="56"/>
      <c r="E316" s="55" t="s">
        <v>133</v>
      </c>
      <c r="F316" s="28">
        <f t="shared" si="110"/>
        <v>183.9</v>
      </c>
      <c r="G316" s="28">
        <f t="shared" si="110"/>
        <v>183.9</v>
      </c>
    </row>
    <row r="317" spans="1:7" ht="47.25">
      <c r="A317" s="10" t="s">
        <v>24</v>
      </c>
      <c r="B317" s="29" t="s">
        <v>265</v>
      </c>
      <c r="C317" s="56">
        <v>1640000000</v>
      </c>
      <c r="D317" s="1"/>
      <c r="E317" s="22" t="s">
        <v>267</v>
      </c>
      <c r="F317" s="28">
        <f t="shared" si="110"/>
        <v>183.9</v>
      </c>
      <c r="G317" s="28">
        <f t="shared" si="110"/>
        <v>183.9</v>
      </c>
    </row>
    <row r="318" spans="1:7" ht="31.5">
      <c r="A318" s="10" t="s">
        <v>24</v>
      </c>
      <c r="B318" s="29" t="s">
        <v>265</v>
      </c>
      <c r="C318" s="56">
        <v>1640100000</v>
      </c>
      <c r="D318" s="54"/>
      <c r="E318" s="55" t="s">
        <v>269</v>
      </c>
      <c r="F318" s="28">
        <f t="shared" si="110"/>
        <v>183.9</v>
      </c>
      <c r="G318" s="28">
        <f t="shared" si="110"/>
        <v>183.9</v>
      </c>
    </row>
    <row r="319" spans="1:7">
      <c r="A319" s="10" t="s">
        <v>24</v>
      </c>
      <c r="B319" s="29" t="s">
        <v>265</v>
      </c>
      <c r="C319" s="56">
        <v>1640120510</v>
      </c>
      <c r="D319" s="54"/>
      <c r="E319" s="55" t="s">
        <v>271</v>
      </c>
      <c r="F319" s="28">
        <f t="shared" si="110"/>
        <v>183.9</v>
      </c>
      <c r="G319" s="28">
        <f t="shared" si="110"/>
        <v>183.9</v>
      </c>
    </row>
    <row r="320" spans="1:7" ht="31.5">
      <c r="A320" s="10" t="s">
        <v>24</v>
      </c>
      <c r="B320" s="29" t="s">
        <v>265</v>
      </c>
      <c r="C320" s="56">
        <v>1640120510</v>
      </c>
      <c r="D320" s="56" t="s">
        <v>75</v>
      </c>
      <c r="E320" s="55" t="s">
        <v>107</v>
      </c>
      <c r="F320" s="28">
        <f t="shared" si="110"/>
        <v>183.9</v>
      </c>
      <c r="G320" s="28">
        <f t="shared" si="110"/>
        <v>183.9</v>
      </c>
    </row>
    <row r="321" spans="1:7" ht="33.6" customHeight="1">
      <c r="A321" s="10" t="s">
        <v>24</v>
      </c>
      <c r="B321" s="29" t="s">
        <v>265</v>
      </c>
      <c r="C321" s="56">
        <v>1640120510</v>
      </c>
      <c r="D321" s="54">
        <v>240</v>
      </c>
      <c r="E321" s="55" t="s">
        <v>441</v>
      </c>
      <c r="F321" s="28">
        <f>309-125.1</f>
        <v>183.9</v>
      </c>
      <c r="G321" s="28">
        <v>183.9</v>
      </c>
    </row>
    <row r="322" spans="1:7">
      <c r="A322" s="10" t="s">
        <v>24</v>
      </c>
      <c r="B322" s="54" t="s">
        <v>43</v>
      </c>
      <c r="C322" s="54" t="s">
        <v>72</v>
      </c>
      <c r="D322" s="54" t="s">
        <v>72</v>
      </c>
      <c r="E322" s="55" t="s">
        <v>115</v>
      </c>
      <c r="F322" s="28">
        <f>F338+F323</f>
        <v>438</v>
      </c>
      <c r="G322" s="28">
        <f>G338+G323</f>
        <v>438</v>
      </c>
    </row>
    <row r="323" spans="1:7" ht="30" customHeight="1">
      <c r="A323" s="10" t="s">
        <v>24</v>
      </c>
      <c r="B323" s="54" t="s">
        <v>43</v>
      </c>
      <c r="C323" s="56">
        <v>1100000000</v>
      </c>
      <c r="D323" s="54"/>
      <c r="E323" s="87" t="s">
        <v>236</v>
      </c>
      <c r="F323" s="28">
        <f>F329+F324</f>
        <v>325.7</v>
      </c>
      <c r="G323" s="28">
        <f>G329+G324</f>
        <v>325.7</v>
      </c>
    </row>
    <row r="324" spans="1:7">
      <c r="A324" s="10" t="s">
        <v>24</v>
      </c>
      <c r="B324" s="81" t="s">
        <v>43</v>
      </c>
      <c r="C324" s="81">
        <v>1110000000</v>
      </c>
      <c r="D324" s="81"/>
      <c r="E324" s="82" t="s">
        <v>214</v>
      </c>
      <c r="F324" s="28">
        <f>F325</f>
        <v>236.1</v>
      </c>
      <c r="G324" s="28">
        <f t="shared" ref="G324:G327" si="111">G325</f>
        <v>236.1</v>
      </c>
    </row>
    <row r="325" spans="1:7">
      <c r="A325" s="10" t="s">
        <v>24</v>
      </c>
      <c r="B325" s="81" t="s">
        <v>43</v>
      </c>
      <c r="C325" s="81">
        <v>1110400000</v>
      </c>
      <c r="D325" s="81"/>
      <c r="E325" s="82" t="s">
        <v>225</v>
      </c>
      <c r="F325" s="28">
        <f>F326</f>
        <v>236.1</v>
      </c>
      <c r="G325" s="28">
        <f t="shared" si="111"/>
        <v>236.1</v>
      </c>
    </row>
    <row r="326" spans="1:7" ht="31.5">
      <c r="A326" s="10" t="s">
        <v>24</v>
      </c>
      <c r="B326" s="81" t="s">
        <v>43</v>
      </c>
      <c r="C326" s="81">
        <v>1110410240</v>
      </c>
      <c r="D326" s="81"/>
      <c r="E326" s="82" t="s">
        <v>298</v>
      </c>
      <c r="F326" s="28">
        <f>F327</f>
        <v>236.1</v>
      </c>
      <c r="G326" s="28">
        <f t="shared" si="111"/>
        <v>236.1</v>
      </c>
    </row>
    <row r="327" spans="1:7" ht="31.5">
      <c r="A327" s="10" t="s">
        <v>24</v>
      </c>
      <c r="B327" s="81" t="s">
        <v>43</v>
      </c>
      <c r="C327" s="81">
        <v>1110410240</v>
      </c>
      <c r="D327" s="83" t="s">
        <v>109</v>
      </c>
      <c r="E327" s="82" t="s">
        <v>110</v>
      </c>
      <c r="F327" s="28">
        <f>F328</f>
        <v>236.1</v>
      </c>
      <c r="G327" s="28">
        <f t="shared" si="111"/>
        <v>236.1</v>
      </c>
    </row>
    <row r="328" spans="1:7">
      <c r="A328" s="10" t="s">
        <v>24</v>
      </c>
      <c r="B328" s="81" t="s">
        <v>43</v>
      </c>
      <c r="C328" s="81">
        <v>1110410240</v>
      </c>
      <c r="D328" s="81">
        <v>610</v>
      </c>
      <c r="E328" s="82" t="s">
        <v>123</v>
      </c>
      <c r="F328" s="28">
        <v>236.1</v>
      </c>
      <c r="G328" s="28">
        <v>236.1</v>
      </c>
    </row>
    <row r="329" spans="1:7" ht="31.5">
      <c r="A329" s="10" t="s">
        <v>24</v>
      </c>
      <c r="B329" s="54" t="s">
        <v>43</v>
      </c>
      <c r="C329" s="56">
        <v>1130000000</v>
      </c>
      <c r="D329" s="54"/>
      <c r="E329" s="55" t="s">
        <v>135</v>
      </c>
      <c r="F329" s="28">
        <f>F334+F330</f>
        <v>89.6</v>
      </c>
      <c r="G329" s="28">
        <f>G334+G330</f>
        <v>89.6</v>
      </c>
    </row>
    <row r="330" spans="1:7" ht="31.5">
      <c r="A330" s="10" t="s">
        <v>24</v>
      </c>
      <c r="B330" s="54" t="s">
        <v>43</v>
      </c>
      <c r="C330" s="54">
        <v>1130200000</v>
      </c>
      <c r="D330" s="54"/>
      <c r="E330" s="55" t="s">
        <v>228</v>
      </c>
      <c r="F330" s="28">
        <f>F331</f>
        <v>22.099999999999998</v>
      </c>
      <c r="G330" s="28">
        <f t="shared" ref="G330:G332" si="112">G331</f>
        <v>22.1</v>
      </c>
    </row>
    <row r="331" spans="1:7" ht="31.5">
      <c r="A331" s="10" t="s">
        <v>24</v>
      </c>
      <c r="B331" s="54" t="s">
        <v>43</v>
      </c>
      <c r="C331" s="54">
        <v>1130220270</v>
      </c>
      <c r="D331" s="54"/>
      <c r="E331" s="55" t="s">
        <v>229</v>
      </c>
      <c r="F331" s="28">
        <f>F332</f>
        <v>22.099999999999998</v>
      </c>
      <c r="G331" s="28">
        <f t="shared" si="112"/>
        <v>22.1</v>
      </c>
    </row>
    <row r="332" spans="1:7">
      <c r="A332" s="10" t="s">
        <v>24</v>
      </c>
      <c r="B332" s="54" t="s">
        <v>43</v>
      </c>
      <c r="C332" s="54">
        <v>1130220270</v>
      </c>
      <c r="D332" s="56" t="s">
        <v>79</v>
      </c>
      <c r="E332" s="55" t="s">
        <v>80</v>
      </c>
      <c r="F332" s="28">
        <f>F333</f>
        <v>22.099999999999998</v>
      </c>
      <c r="G332" s="28">
        <f t="shared" si="112"/>
        <v>22.1</v>
      </c>
    </row>
    <row r="333" spans="1:7">
      <c r="A333" s="10" t="s">
        <v>24</v>
      </c>
      <c r="B333" s="54" t="s">
        <v>43</v>
      </c>
      <c r="C333" s="54">
        <v>1130220270</v>
      </c>
      <c r="D333" s="54">
        <v>350</v>
      </c>
      <c r="E333" s="55" t="s">
        <v>194</v>
      </c>
      <c r="F333" s="28">
        <f>21.9+0.3-0.1</f>
        <v>22.099999999999998</v>
      </c>
      <c r="G333" s="28">
        <v>22.1</v>
      </c>
    </row>
    <row r="334" spans="1:7" ht="31.5">
      <c r="A334" s="10" t="s">
        <v>24</v>
      </c>
      <c r="B334" s="54" t="s">
        <v>43</v>
      </c>
      <c r="C334" s="54">
        <v>1130400000</v>
      </c>
      <c r="D334" s="54"/>
      <c r="E334" s="55" t="s">
        <v>172</v>
      </c>
      <c r="F334" s="28">
        <f>F335</f>
        <v>67.5</v>
      </c>
      <c r="G334" s="28">
        <f t="shared" ref="G334:G336" si="113">G335</f>
        <v>67.5</v>
      </c>
    </row>
    <row r="335" spans="1:7" ht="31.5">
      <c r="A335" s="10" t="s">
        <v>24</v>
      </c>
      <c r="B335" s="54" t="s">
        <v>43</v>
      </c>
      <c r="C335" s="54">
        <v>1130420290</v>
      </c>
      <c r="D335" s="54"/>
      <c r="E335" s="55" t="s">
        <v>173</v>
      </c>
      <c r="F335" s="28">
        <f>F336</f>
        <v>67.5</v>
      </c>
      <c r="G335" s="28">
        <f t="shared" si="113"/>
        <v>67.5</v>
      </c>
    </row>
    <row r="336" spans="1:7" ht="31.5">
      <c r="A336" s="10" t="s">
        <v>24</v>
      </c>
      <c r="B336" s="54" t="s">
        <v>43</v>
      </c>
      <c r="C336" s="54">
        <v>1130420290</v>
      </c>
      <c r="D336" s="56" t="s">
        <v>109</v>
      </c>
      <c r="E336" s="55" t="s">
        <v>110</v>
      </c>
      <c r="F336" s="28">
        <f>F337</f>
        <v>67.5</v>
      </c>
      <c r="G336" s="28">
        <f t="shared" si="113"/>
        <v>67.5</v>
      </c>
    </row>
    <row r="337" spans="1:7">
      <c r="A337" s="10" t="s">
        <v>24</v>
      </c>
      <c r="B337" s="54" t="s">
        <v>43</v>
      </c>
      <c r="C337" s="54">
        <v>1130420290</v>
      </c>
      <c r="D337" s="54">
        <v>610</v>
      </c>
      <c r="E337" s="55" t="s">
        <v>123</v>
      </c>
      <c r="F337" s="28">
        <v>67.5</v>
      </c>
      <c r="G337" s="28">
        <v>67.5</v>
      </c>
    </row>
    <row r="338" spans="1:7" ht="47.25">
      <c r="A338" s="10" t="s">
        <v>24</v>
      </c>
      <c r="B338" s="54" t="s">
        <v>43</v>
      </c>
      <c r="C338" s="56">
        <v>1200000000</v>
      </c>
      <c r="D338" s="54"/>
      <c r="E338" s="87" t="s">
        <v>231</v>
      </c>
      <c r="F338" s="28">
        <f>F339</f>
        <v>112.3</v>
      </c>
      <c r="G338" s="28">
        <f t="shared" ref="G338:G342" si="114">G339</f>
        <v>112.3</v>
      </c>
    </row>
    <row r="339" spans="1:7" ht="31.5">
      <c r="A339" s="10" t="s">
        <v>24</v>
      </c>
      <c r="B339" s="54" t="s">
        <v>43</v>
      </c>
      <c r="C339" s="56">
        <v>1240000000</v>
      </c>
      <c r="D339" s="11"/>
      <c r="E339" s="55" t="s">
        <v>162</v>
      </c>
      <c r="F339" s="28">
        <f>F340</f>
        <v>112.3</v>
      </c>
      <c r="G339" s="28">
        <f t="shared" si="114"/>
        <v>112.3</v>
      </c>
    </row>
    <row r="340" spans="1:7" ht="31.5">
      <c r="A340" s="10" t="s">
        <v>24</v>
      </c>
      <c r="B340" s="54" t="s">
        <v>43</v>
      </c>
      <c r="C340" s="11" t="s">
        <v>164</v>
      </c>
      <c r="D340" s="11"/>
      <c r="E340" s="55" t="s">
        <v>163</v>
      </c>
      <c r="F340" s="28">
        <f>F341+F344+F347</f>
        <v>112.3</v>
      </c>
      <c r="G340" s="28">
        <f>G341+G344+G347</f>
        <v>112.3</v>
      </c>
    </row>
    <row r="341" spans="1:7">
      <c r="A341" s="10" t="s">
        <v>24</v>
      </c>
      <c r="B341" s="3" t="s">
        <v>43</v>
      </c>
      <c r="C341" s="11" t="s">
        <v>264</v>
      </c>
      <c r="D341" s="13"/>
      <c r="E341" s="55" t="s">
        <v>176</v>
      </c>
      <c r="F341" s="28">
        <f>F342</f>
        <v>74.3</v>
      </c>
      <c r="G341" s="28">
        <f t="shared" si="114"/>
        <v>74.3</v>
      </c>
    </row>
    <row r="342" spans="1:7" ht="31.5">
      <c r="A342" s="10" t="s">
        <v>24</v>
      </c>
      <c r="B342" s="3" t="s">
        <v>43</v>
      </c>
      <c r="C342" s="11" t="s">
        <v>264</v>
      </c>
      <c r="D342" s="56" t="s">
        <v>109</v>
      </c>
      <c r="E342" s="55" t="s">
        <v>110</v>
      </c>
      <c r="F342" s="28">
        <f>F343</f>
        <v>74.3</v>
      </c>
      <c r="G342" s="28">
        <f t="shared" si="114"/>
        <v>74.3</v>
      </c>
    </row>
    <row r="343" spans="1:7">
      <c r="A343" s="10" t="s">
        <v>24</v>
      </c>
      <c r="B343" s="3" t="s">
        <v>43</v>
      </c>
      <c r="C343" s="11" t="s">
        <v>264</v>
      </c>
      <c r="D343" s="54">
        <v>610</v>
      </c>
      <c r="E343" s="55" t="s">
        <v>123</v>
      </c>
      <c r="F343" s="28">
        <f>49.3+25</f>
        <v>74.3</v>
      </c>
      <c r="G343" s="28">
        <v>74.3</v>
      </c>
    </row>
    <row r="344" spans="1:7" ht="31.5">
      <c r="A344" s="10" t="s">
        <v>24</v>
      </c>
      <c r="B344" s="54" t="s">
        <v>43</v>
      </c>
      <c r="C344" s="11" t="s">
        <v>168</v>
      </c>
      <c r="D344" s="11"/>
      <c r="E344" s="55" t="s">
        <v>167</v>
      </c>
      <c r="F344" s="28">
        <f>F345</f>
        <v>14</v>
      </c>
      <c r="G344" s="28">
        <f t="shared" ref="G344:G345" si="115">G345</f>
        <v>14</v>
      </c>
    </row>
    <row r="345" spans="1:7" ht="31.5">
      <c r="A345" s="10" t="s">
        <v>24</v>
      </c>
      <c r="B345" s="54" t="s">
        <v>43</v>
      </c>
      <c r="C345" s="11" t="s">
        <v>168</v>
      </c>
      <c r="D345" s="56" t="s">
        <v>75</v>
      </c>
      <c r="E345" s="55" t="s">
        <v>107</v>
      </c>
      <c r="F345" s="28">
        <f>F346</f>
        <v>14</v>
      </c>
      <c r="G345" s="28">
        <f t="shared" si="115"/>
        <v>14</v>
      </c>
    </row>
    <row r="346" spans="1:7" ht="33" customHeight="1">
      <c r="A346" s="10" t="s">
        <v>24</v>
      </c>
      <c r="B346" s="54" t="s">
        <v>43</v>
      </c>
      <c r="C346" s="11" t="s">
        <v>168</v>
      </c>
      <c r="D346" s="54">
        <v>240</v>
      </c>
      <c r="E346" s="178" t="s">
        <v>441</v>
      </c>
      <c r="F346" s="28">
        <v>14</v>
      </c>
      <c r="G346" s="28">
        <v>14</v>
      </c>
    </row>
    <row r="347" spans="1:7">
      <c r="A347" s="10" t="s">
        <v>24</v>
      </c>
      <c r="B347" s="54" t="s">
        <v>43</v>
      </c>
      <c r="C347" s="11" t="s">
        <v>266</v>
      </c>
      <c r="D347" s="11"/>
      <c r="E347" s="55" t="s">
        <v>169</v>
      </c>
      <c r="F347" s="28">
        <f>F348</f>
        <v>24</v>
      </c>
      <c r="G347" s="28">
        <f t="shared" ref="G347:G348" si="116">G348</f>
        <v>24</v>
      </c>
    </row>
    <row r="348" spans="1:7">
      <c r="A348" s="10" t="s">
        <v>24</v>
      </c>
      <c r="B348" s="54" t="s">
        <v>43</v>
      </c>
      <c r="C348" s="11" t="s">
        <v>266</v>
      </c>
      <c r="D348" s="56" t="s">
        <v>79</v>
      </c>
      <c r="E348" s="55" t="s">
        <v>80</v>
      </c>
      <c r="F348" s="28">
        <f>F349</f>
        <v>24</v>
      </c>
      <c r="G348" s="28">
        <f t="shared" si="116"/>
        <v>24</v>
      </c>
    </row>
    <row r="349" spans="1:7">
      <c r="A349" s="10" t="s">
        <v>24</v>
      </c>
      <c r="B349" s="54" t="s">
        <v>43</v>
      </c>
      <c r="C349" s="11" t="s">
        <v>266</v>
      </c>
      <c r="D349" s="11" t="s">
        <v>170</v>
      </c>
      <c r="E349" s="55" t="s">
        <v>171</v>
      </c>
      <c r="F349" s="28">
        <v>24</v>
      </c>
      <c r="G349" s="28">
        <v>24</v>
      </c>
    </row>
    <row r="350" spans="1:7">
      <c r="A350" s="54" t="s">
        <v>24</v>
      </c>
      <c r="B350" s="54" t="s">
        <v>46</v>
      </c>
      <c r="C350" s="54" t="s">
        <v>72</v>
      </c>
      <c r="D350" s="54" t="s">
        <v>72</v>
      </c>
      <c r="E350" s="9" t="s">
        <v>88</v>
      </c>
      <c r="F350" s="28">
        <f>F351</f>
        <v>38286.5</v>
      </c>
      <c r="G350" s="28">
        <f t="shared" ref="G350" si="117">G351</f>
        <v>38286.5</v>
      </c>
    </row>
    <row r="351" spans="1:7">
      <c r="A351" s="54" t="s">
        <v>24</v>
      </c>
      <c r="B351" s="54" t="s">
        <v>47</v>
      </c>
      <c r="C351" s="54" t="s">
        <v>72</v>
      </c>
      <c r="D351" s="54" t="s">
        <v>72</v>
      </c>
      <c r="E351" s="55" t="s">
        <v>17</v>
      </c>
      <c r="F351" s="28">
        <f>F352+F398</f>
        <v>38286.5</v>
      </c>
      <c r="G351" s="28">
        <f>G352+G398</f>
        <v>38286.5</v>
      </c>
    </row>
    <row r="352" spans="1:7" ht="47.25">
      <c r="A352" s="54" t="s">
        <v>24</v>
      </c>
      <c r="B352" s="54" t="s">
        <v>47</v>
      </c>
      <c r="C352" s="56">
        <v>1200000000</v>
      </c>
      <c r="D352" s="54"/>
      <c r="E352" s="55" t="s">
        <v>231</v>
      </c>
      <c r="F352" s="28">
        <f>F353+F371</f>
        <v>38086.5</v>
      </c>
      <c r="G352" s="28">
        <f>G353+G371</f>
        <v>38086.5</v>
      </c>
    </row>
    <row r="353" spans="1:7" ht="31.5">
      <c r="A353" s="54" t="s">
        <v>24</v>
      </c>
      <c r="B353" s="54" t="s">
        <v>47</v>
      </c>
      <c r="C353" s="56">
        <v>1210000000</v>
      </c>
      <c r="D353" s="54"/>
      <c r="E353" s="55" t="s">
        <v>247</v>
      </c>
      <c r="F353" s="28">
        <f>F354+F364</f>
        <v>13560.7</v>
      </c>
      <c r="G353" s="28">
        <f>G354+G364</f>
        <v>13560.7</v>
      </c>
    </row>
    <row r="354" spans="1:7" ht="31.5">
      <c r="A354" s="54" t="s">
        <v>24</v>
      </c>
      <c r="B354" s="54" t="s">
        <v>47</v>
      </c>
      <c r="C354" s="56">
        <v>1210100000</v>
      </c>
      <c r="D354" s="54"/>
      <c r="E354" s="55" t="s">
        <v>248</v>
      </c>
      <c r="F354" s="28">
        <f>F358+F355+F361</f>
        <v>13453</v>
      </c>
      <c r="G354" s="28">
        <f t="shared" ref="G354" si="118">G358+G355+G361</f>
        <v>13453</v>
      </c>
    </row>
    <row r="355" spans="1:7" ht="47.25">
      <c r="A355" s="54" t="s">
        <v>24</v>
      </c>
      <c r="B355" s="54" t="s">
        <v>47</v>
      </c>
      <c r="C355" s="56">
        <v>1210110680</v>
      </c>
      <c r="D355" s="54"/>
      <c r="E355" s="51" t="s">
        <v>310</v>
      </c>
      <c r="F355" s="28">
        <f>F356</f>
        <v>3865.3999999999996</v>
      </c>
      <c r="G355" s="28">
        <f t="shared" ref="G355:G356" si="119">G356</f>
        <v>3865.4</v>
      </c>
    </row>
    <row r="356" spans="1:7" ht="31.5">
      <c r="A356" s="54" t="s">
        <v>24</v>
      </c>
      <c r="B356" s="54" t="s">
        <v>47</v>
      </c>
      <c r="C356" s="56">
        <v>1210110680</v>
      </c>
      <c r="D356" s="56" t="s">
        <v>109</v>
      </c>
      <c r="E356" s="55" t="s">
        <v>110</v>
      </c>
      <c r="F356" s="28">
        <f>F357</f>
        <v>3865.3999999999996</v>
      </c>
      <c r="G356" s="28">
        <f t="shared" si="119"/>
        <v>3865.4</v>
      </c>
    </row>
    <row r="357" spans="1:7">
      <c r="A357" s="54" t="s">
        <v>24</v>
      </c>
      <c r="B357" s="54" t="s">
        <v>47</v>
      </c>
      <c r="C357" s="56">
        <v>1210110680</v>
      </c>
      <c r="D357" s="54">
        <v>610</v>
      </c>
      <c r="E357" s="55" t="s">
        <v>123</v>
      </c>
      <c r="F357" s="28">
        <f>1816.1+1193.8+0.1+855.4</f>
        <v>3865.3999999999996</v>
      </c>
      <c r="G357" s="28">
        <v>3865.4</v>
      </c>
    </row>
    <row r="358" spans="1:7" ht="31.5">
      <c r="A358" s="54" t="s">
        <v>24</v>
      </c>
      <c r="B358" s="54" t="s">
        <v>47</v>
      </c>
      <c r="C358" s="56">
        <v>1210120010</v>
      </c>
      <c r="D358" s="54"/>
      <c r="E358" s="87" t="s">
        <v>144</v>
      </c>
      <c r="F358" s="28">
        <f>F359</f>
        <v>9548.9</v>
      </c>
      <c r="G358" s="28">
        <f t="shared" ref="G358:G359" si="120">G359</f>
        <v>9548.9</v>
      </c>
    </row>
    <row r="359" spans="1:7" ht="31.5">
      <c r="A359" s="54" t="s">
        <v>24</v>
      </c>
      <c r="B359" s="54" t="s">
        <v>47</v>
      </c>
      <c r="C359" s="56">
        <v>1210120010</v>
      </c>
      <c r="D359" s="56" t="s">
        <v>109</v>
      </c>
      <c r="E359" s="55" t="s">
        <v>110</v>
      </c>
      <c r="F359" s="28">
        <f>F360</f>
        <v>9548.9</v>
      </c>
      <c r="G359" s="28">
        <f t="shared" si="120"/>
        <v>9548.9</v>
      </c>
    </row>
    <row r="360" spans="1:7">
      <c r="A360" s="54" t="s">
        <v>24</v>
      </c>
      <c r="B360" s="54" t="s">
        <v>47</v>
      </c>
      <c r="C360" s="56">
        <v>1210120010</v>
      </c>
      <c r="D360" s="54">
        <v>610</v>
      </c>
      <c r="E360" s="55" t="s">
        <v>123</v>
      </c>
      <c r="F360" s="28">
        <f>9616.1-18.2-79.4-14.3+50.9-6.2</f>
        <v>9548.9</v>
      </c>
      <c r="G360" s="28">
        <v>9548.9</v>
      </c>
    </row>
    <row r="361" spans="1:7" ht="47.25">
      <c r="A361" s="54" t="s">
        <v>24</v>
      </c>
      <c r="B361" s="54" t="s">
        <v>47</v>
      </c>
      <c r="C361" s="56" t="s">
        <v>300</v>
      </c>
      <c r="D361" s="54"/>
      <c r="E361" s="51" t="s">
        <v>309</v>
      </c>
      <c r="F361" s="28">
        <f>F362</f>
        <v>38.700000000000003</v>
      </c>
      <c r="G361" s="28">
        <f t="shared" ref="G361:G362" si="121">G362</f>
        <v>38.700000000000003</v>
      </c>
    </row>
    <row r="362" spans="1:7" ht="31.5">
      <c r="A362" s="54" t="s">
        <v>24</v>
      </c>
      <c r="B362" s="54" t="s">
        <v>47</v>
      </c>
      <c r="C362" s="56" t="s">
        <v>300</v>
      </c>
      <c r="D362" s="56" t="s">
        <v>109</v>
      </c>
      <c r="E362" s="55" t="s">
        <v>110</v>
      </c>
      <c r="F362" s="28">
        <f>F363</f>
        <v>38.700000000000003</v>
      </c>
      <c r="G362" s="28">
        <f t="shared" si="121"/>
        <v>38.700000000000003</v>
      </c>
    </row>
    <row r="363" spans="1:7">
      <c r="A363" s="54" t="s">
        <v>24</v>
      </c>
      <c r="B363" s="54" t="s">
        <v>47</v>
      </c>
      <c r="C363" s="56" t="s">
        <v>300</v>
      </c>
      <c r="D363" s="54">
        <v>610</v>
      </c>
      <c r="E363" s="55" t="s">
        <v>123</v>
      </c>
      <c r="F363" s="28">
        <f>18.2+14.3+6.2</f>
        <v>38.700000000000003</v>
      </c>
      <c r="G363" s="28">
        <v>38.700000000000003</v>
      </c>
    </row>
    <row r="364" spans="1:7" ht="31.5">
      <c r="A364" s="54" t="s">
        <v>24</v>
      </c>
      <c r="B364" s="54" t="s">
        <v>47</v>
      </c>
      <c r="C364" s="56">
        <v>1210300000</v>
      </c>
      <c r="D364" s="54"/>
      <c r="E364" s="55" t="s">
        <v>249</v>
      </c>
      <c r="F364" s="28">
        <f>F368+F365</f>
        <v>107.7</v>
      </c>
      <c r="G364" s="28">
        <f>G368+G365</f>
        <v>107.7</v>
      </c>
    </row>
    <row r="365" spans="1:7">
      <c r="A365" s="186" t="s">
        <v>24</v>
      </c>
      <c r="B365" s="186" t="s">
        <v>47</v>
      </c>
      <c r="C365" s="188">
        <v>1210320010</v>
      </c>
      <c r="D365" s="186"/>
      <c r="E365" s="187" t="s">
        <v>472</v>
      </c>
      <c r="F365" s="28">
        <f>F366</f>
        <v>75</v>
      </c>
      <c r="G365" s="28">
        <f t="shared" ref="G365:G366" si="122">G366</f>
        <v>75</v>
      </c>
    </row>
    <row r="366" spans="1:7" ht="31.5">
      <c r="A366" s="186" t="s">
        <v>24</v>
      </c>
      <c r="B366" s="186" t="s">
        <v>47</v>
      </c>
      <c r="C366" s="188">
        <v>1210320010</v>
      </c>
      <c r="D366" s="188" t="s">
        <v>109</v>
      </c>
      <c r="E366" s="187" t="s">
        <v>110</v>
      </c>
      <c r="F366" s="28">
        <f>F367</f>
        <v>75</v>
      </c>
      <c r="G366" s="28">
        <f t="shared" si="122"/>
        <v>75</v>
      </c>
    </row>
    <row r="367" spans="1:7">
      <c r="A367" s="186" t="s">
        <v>24</v>
      </c>
      <c r="B367" s="186" t="s">
        <v>47</v>
      </c>
      <c r="C367" s="188">
        <v>1210320010</v>
      </c>
      <c r="D367" s="186">
        <v>610</v>
      </c>
      <c r="E367" s="187" t="s">
        <v>123</v>
      </c>
      <c r="F367" s="28">
        <v>75</v>
      </c>
      <c r="G367" s="28">
        <v>75</v>
      </c>
    </row>
    <row r="368" spans="1:7" ht="31.5">
      <c r="A368" s="88" t="s">
        <v>24</v>
      </c>
      <c r="B368" s="88" t="s">
        <v>47</v>
      </c>
      <c r="C368" s="90">
        <v>1210320030</v>
      </c>
      <c r="D368" s="88"/>
      <c r="E368" s="89" t="s">
        <v>280</v>
      </c>
      <c r="F368" s="28">
        <f>F369</f>
        <v>32.700000000000003</v>
      </c>
      <c r="G368" s="28">
        <f t="shared" ref="G368:G369" si="123">G369</f>
        <v>32.700000000000003</v>
      </c>
    </row>
    <row r="369" spans="1:7" ht="31.5">
      <c r="A369" s="88" t="s">
        <v>24</v>
      </c>
      <c r="B369" s="88" t="s">
        <v>47</v>
      </c>
      <c r="C369" s="90">
        <v>1210320030</v>
      </c>
      <c r="D369" s="90" t="s">
        <v>109</v>
      </c>
      <c r="E369" s="89" t="s">
        <v>110</v>
      </c>
      <c r="F369" s="28">
        <f>F370</f>
        <v>32.700000000000003</v>
      </c>
      <c r="G369" s="28">
        <f t="shared" si="123"/>
        <v>32.700000000000003</v>
      </c>
    </row>
    <row r="370" spans="1:7">
      <c r="A370" s="88" t="s">
        <v>24</v>
      </c>
      <c r="B370" s="88" t="s">
        <v>47</v>
      </c>
      <c r="C370" s="90">
        <v>1210320030</v>
      </c>
      <c r="D370" s="88">
        <v>610</v>
      </c>
      <c r="E370" s="89" t="s">
        <v>123</v>
      </c>
      <c r="F370" s="28">
        <v>32.700000000000003</v>
      </c>
      <c r="G370" s="28">
        <v>32.700000000000003</v>
      </c>
    </row>
    <row r="371" spans="1:7" ht="31.5">
      <c r="A371" s="54" t="s">
        <v>24</v>
      </c>
      <c r="B371" s="54" t="s">
        <v>47</v>
      </c>
      <c r="C371" s="56">
        <v>1220000000</v>
      </c>
      <c r="D371" s="54"/>
      <c r="E371" s="55" t="s">
        <v>174</v>
      </c>
      <c r="F371" s="28">
        <f>F372+F390+F394+F386+F382</f>
        <v>24525.799999999996</v>
      </c>
      <c r="G371" s="28">
        <f>G372+G390+G394+G386+G382</f>
        <v>24525.8</v>
      </c>
    </row>
    <row r="372" spans="1:7" ht="35.25" customHeight="1">
      <c r="A372" s="54" t="s">
        <v>24</v>
      </c>
      <c r="B372" s="54" t="s">
        <v>47</v>
      </c>
      <c r="C372" s="54">
        <v>1220100000</v>
      </c>
      <c r="D372" s="54"/>
      <c r="E372" s="55" t="s">
        <v>250</v>
      </c>
      <c r="F372" s="28">
        <f>F376+F379+F373</f>
        <v>24343.799999999996</v>
      </c>
      <c r="G372" s="28">
        <f t="shared" ref="G372" si="124">G376+G379+G373</f>
        <v>24343.8</v>
      </c>
    </row>
    <row r="373" spans="1:7" ht="47.25">
      <c r="A373" s="54" t="s">
        <v>24</v>
      </c>
      <c r="B373" s="54" t="s">
        <v>47</v>
      </c>
      <c r="C373" s="54">
        <v>1220110680</v>
      </c>
      <c r="D373" s="54"/>
      <c r="E373" s="51" t="s">
        <v>310</v>
      </c>
      <c r="F373" s="28">
        <f>F374</f>
        <v>5057.3</v>
      </c>
      <c r="G373" s="28">
        <f t="shared" ref="G373:G374" si="125">G374</f>
        <v>5057.3</v>
      </c>
    </row>
    <row r="374" spans="1:7" ht="31.5">
      <c r="A374" s="54" t="s">
        <v>24</v>
      </c>
      <c r="B374" s="54" t="s">
        <v>47</v>
      </c>
      <c r="C374" s="54">
        <v>1220110680</v>
      </c>
      <c r="D374" s="56" t="s">
        <v>109</v>
      </c>
      <c r="E374" s="55" t="s">
        <v>110</v>
      </c>
      <c r="F374" s="28">
        <f>F375</f>
        <v>5057.3</v>
      </c>
      <c r="G374" s="28">
        <f t="shared" si="125"/>
        <v>5057.3</v>
      </c>
    </row>
    <row r="375" spans="1:7">
      <c r="A375" s="54" t="s">
        <v>24</v>
      </c>
      <c r="B375" s="54" t="s">
        <v>47</v>
      </c>
      <c r="C375" s="54">
        <v>1220110680</v>
      </c>
      <c r="D375" s="54">
        <v>610</v>
      </c>
      <c r="E375" s="55" t="s">
        <v>123</v>
      </c>
      <c r="F375" s="28">
        <f>1415.9+2980.7-0.1+660.8</f>
        <v>5057.3</v>
      </c>
      <c r="G375" s="28">
        <v>5057.3</v>
      </c>
    </row>
    <row r="376" spans="1:7" ht="31.5">
      <c r="A376" s="54" t="s">
        <v>24</v>
      </c>
      <c r="B376" s="54" t="s">
        <v>47</v>
      </c>
      <c r="C376" s="54">
        <v>1220120010</v>
      </c>
      <c r="D376" s="54"/>
      <c r="E376" s="55" t="s">
        <v>144</v>
      </c>
      <c r="F376" s="28">
        <f>F377</f>
        <v>19235.899999999998</v>
      </c>
      <c r="G376" s="28">
        <f t="shared" ref="G376:G377" si="126">G377</f>
        <v>19235.900000000001</v>
      </c>
    </row>
    <row r="377" spans="1:7" ht="31.5">
      <c r="A377" s="54" t="s">
        <v>24</v>
      </c>
      <c r="B377" s="54" t="s">
        <v>47</v>
      </c>
      <c r="C377" s="54">
        <v>1220120010</v>
      </c>
      <c r="D377" s="56" t="s">
        <v>109</v>
      </c>
      <c r="E377" s="55" t="s">
        <v>110</v>
      </c>
      <c r="F377" s="28">
        <f>F378</f>
        <v>19235.899999999998</v>
      </c>
      <c r="G377" s="28">
        <f t="shared" si="126"/>
        <v>19235.900000000001</v>
      </c>
    </row>
    <row r="378" spans="1:7">
      <c r="A378" s="54" t="s">
        <v>24</v>
      </c>
      <c r="B378" s="54" t="s">
        <v>47</v>
      </c>
      <c r="C378" s="54">
        <v>1220120010</v>
      </c>
      <c r="D378" s="54">
        <v>610</v>
      </c>
      <c r="E378" s="55" t="s">
        <v>123</v>
      </c>
      <c r="F378" s="28">
        <f>13416.4+5305.7+724.4-14.2+572-27.4-969.9-9+237.9</f>
        <v>19235.899999999998</v>
      </c>
      <c r="G378" s="28">
        <v>19235.900000000001</v>
      </c>
    </row>
    <row r="379" spans="1:7" ht="47.25">
      <c r="A379" s="54" t="s">
        <v>24</v>
      </c>
      <c r="B379" s="54" t="s">
        <v>47</v>
      </c>
      <c r="C379" s="54" t="s">
        <v>301</v>
      </c>
      <c r="D379" s="54"/>
      <c r="E379" s="51" t="s">
        <v>309</v>
      </c>
      <c r="F379" s="28">
        <f>F380</f>
        <v>50.599999999999994</v>
      </c>
      <c r="G379" s="28">
        <f t="shared" ref="G379:G380" si="127">G380</f>
        <v>50.6</v>
      </c>
    </row>
    <row r="380" spans="1:7" ht="31.5">
      <c r="A380" s="54" t="s">
        <v>24</v>
      </c>
      <c r="B380" s="54" t="s">
        <v>47</v>
      </c>
      <c r="C380" s="54" t="s">
        <v>301</v>
      </c>
      <c r="D380" s="56" t="s">
        <v>109</v>
      </c>
      <c r="E380" s="55" t="s">
        <v>110</v>
      </c>
      <c r="F380" s="28">
        <f>F381</f>
        <v>50.599999999999994</v>
      </c>
      <c r="G380" s="28">
        <f t="shared" si="127"/>
        <v>50.6</v>
      </c>
    </row>
    <row r="381" spans="1:7">
      <c r="A381" s="54" t="s">
        <v>24</v>
      </c>
      <c r="B381" s="54" t="s">
        <v>47</v>
      </c>
      <c r="C381" s="54" t="s">
        <v>301</v>
      </c>
      <c r="D381" s="54">
        <v>610</v>
      </c>
      <c r="E381" s="55" t="s">
        <v>123</v>
      </c>
      <c r="F381" s="28">
        <f>14.2+27.4+9</f>
        <v>50.599999999999994</v>
      </c>
      <c r="G381" s="28">
        <v>50.6</v>
      </c>
    </row>
    <row r="382" spans="1:7" ht="63">
      <c r="A382" s="186" t="s">
        <v>24</v>
      </c>
      <c r="B382" s="186" t="s">
        <v>47</v>
      </c>
      <c r="C382" s="186">
        <v>1220200000</v>
      </c>
      <c r="D382" s="186"/>
      <c r="E382" s="187" t="s">
        <v>467</v>
      </c>
      <c r="F382" s="28">
        <f>F383</f>
        <v>96.8</v>
      </c>
      <c r="G382" s="28">
        <f t="shared" ref="G382:G384" si="128">G383</f>
        <v>96.8</v>
      </c>
    </row>
    <row r="383" spans="1:7" ht="15.75" customHeight="1">
      <c r="A383" s="186" t="s">
        <v>24</v>
      </c>
      <c r="B383" s="186" t="s">
        <v>47</v>
      </c>
      <c r="C383" s="186">
        <v>1220220020</v>
      </c>
      <c r="D383" s="186"/>
      <c r="E383" s="187" t="s">
        <v>324</v>
      </c>
      <c r="F383" s="28">
        <f>F384</f>
        <v>96.8</v>
      </c>
      <c r="G383" s="28">
        <f t="shared" si="128"/>
        <v>96.8</v>
      </c>
    </row>
    <row r="384" spans="1:7" ht="31.5">
      <c r="A384" s="186" t="s">
        <v>24</v>
      </c>
      <c r="B384" s="186" t="s">
        <v>47</v>
      </c>
      <c r="C384" s="186">
        <v>1220220020</v>
      </c>
      <c r="D384" s="188" t="s">
        <v>109</v>
      </c>
      <c r="E384" s="187" t="s">
        <v>110</v>
      </c>
      <c r="F384" s="28">
        <f>F385</f>
        <v>96.8</v>
      </c>
      <c r="G384" s="28">
        <f t="shared" si="128"/>
        <v>96.8</v>
      </c>
    </row>
    <row r="385" spans="1:7">
      <c r="A385" s="186" t="s">
        <v>24</v>
      </c>
      <c r="B385" s="186" t="s">
        <v>47</v>
      </c>
      <c r="C385" s="186">
        <v>1220220020</v>
      </c>
      <c r="D385" s="186">
        <v>610</v>
      </c>
      <c r="E385" s="187" t="s">
        <v>123</v>
      </c>
      <c r="F385" s="28">
        <v>96.8</v>
      </c>
      <c r="G385" s="28">
        <v>96.8</v>
      </c>
    </row>
    <row r="386" spans="1:7" ht="47.25">
      <c r="A386" s="66" t="s">
        <v>24</v>
      </c>
      <c r="B386" s="66" t="s">
        <v>47</v>
      </c>
      <c r="C386" s="66">
        <v>1220300000</v>
      </c>
      <c r="D386" s="66"/>
      <c r="E386" s="67" t="s">
        <v>320</v>
      </c>
      <c r="F386" s="28">
        <f>F387</f>
        <v>36</v>
      </c>
      <c r="G386" s="28">
        <f t="shared" ref="G386:G388" si="129">G387</f>
        <v>36</v>
      </c>
    </row>
    <row r="387" spans="1:7" ht="31.5">
      <c r="A387" s="66" t="s">
        <v>24</v>
      </c>
      <c r="B387" s="66" t="s">
        <v>47</v>
      </c>
      <c r="C387" s="66">
        <v>1220320030</v>
      </c>
      <c r="D387" s="66"/>
      <c r="E387" s="198" t="s">
        <v>280</v>
      </c>
      <c r="F387" s="28">
        <f>F388</f>
        <v>36</v>
      </c>
      <c r="G387" s="28">
        <f t="shared" si="129"/>
        <v>36</v>
      </c>
    </row>
    <row r="388" spans="1:7" ht="31.5">
      <c r="A388" s="66" t="s">
        <v>24</v>
      </c>
      <c r="B388" s="66" t="s">
        <v>47</v>
      </c>
      <c r="C388" s="194">
        <v>1220320030</v>
      </c>
      <c r="D388" s="68" t="s">
        <v>109</v>
      </c>
      <c r="E388" s="198" t="s">
        <v>110</v>
      </c>
      <c r="F388" s="28">
        <f>F389</f>
        <v>36</v>
      </c>
      <c r="G388" s="28">
        <f t="shared" si="129"/>
        <v>36</v>
      </c>
    </row>
    <row r="389" spans="1:7">
      <c r="A389" s="66" t="s">
        <v>24</v>
      </c>
      <c r="B389" s="66" t="s">
        <v>47</v>
      </c>
      <c r="C389" s="194">
        <v>1220320030</v>
      </c>
      <c r="D389" s="66">
        <v>610</v>
      </c>
      <c r="E389" s="198" t="s">
        <v>123</v>
      </c>
      <c r="F389" s="28">
        <f>36</f>
        <v>36</v>
      </c>
      <c r="G389" s="28">
        <v>36</v>
      </c>
    </row>
    <row r="390" spans="1:7" ht="31.5">
      <c r="A390" s="54" t="s">
        <v>24</v>
      </c>
      <c r="B390" s="54" t="s">
        <v>47</v>
      </c>
      <c r="C390" s="54">
        <v>1220400000</v>
      </c>
      <c r="D390" s="54"/>
      <c r="E390" s="55" t="s">
        <v>251</v>
      </c>
      <c r="F390" s="28">
        <f>F391</f>
        <v>16</v>
      </c>
      <c r="G390" s="28">
        <f t="shared" ref="G390:G392" si="130">G391</f>
        <v>16</v>
      </c>
    </row>
    <row r="391" spans="1:7" ht="31.5">
      <c r="A391" s="54" t="s">
        <v>24</v>
      </c>
      <c r="B391" s="54" t="s">
        <v>47</v>
      </c>
      <c r="C391" s="54">
        <v>1220420450</v>
      </c>
      <c r="D391" s="54"/>
      <c r="E391" s="55" t="s">
        <v>175</v>
      </c>
      <c r="F391" s="28">
        <f>F392</f>
        <v>16</v>
      </c>
      <c r="G391" s="28">
        <f t="shared" si="130"/>
        <v>16</v>
      </c>
    </row>
    <row r="392" spans="1:7" ht="31.5">
      <c r="A392" s="54" t="s">
        <v>24</v>
      </c>
      <c r="B392" s="54" t="s">
        <v>47</v>
      </c>
      <c r="C392" s="54">
        <v>1220420450</v>
      </c>
      <c r="D392" s="56" t="s">
        <v>75</v>
      </c>
      <c r="E392" s="55" t="s">
        <v>107</v>
      </c>
      <c r="F392" s="28">
        <f>F393</f>
        <v>16</v>
      </c>
      <c r="G392" s="28">
        <f t="shared" si="130"/>
        <v>16</v>
      </c>
    </row>
    <row r="393" spans="1:7" ht="32.450000000000003" customHeight="1">
      <c r="A393" s="54" t="s">
        <v>24</v>
      </c>
      <c r="B393" s="54" t="s">
        <v>47</v>
      </c>
      <c r="C393" s="54">
        <v>1220420450</v>
      </c>
      <c r="D393" s="54">
        <v>240</v>
      </c>
      <c r="E393" s="55" t="s">
        <v>441</v>
      </c>
      <c r="F393" s="28">
        <f>24-8</f>
        <v>16</v>
      </c>
      <c r="G393" s="28">
        <v>16</v>
      </c>
    </row>
    <row r="394" spans="1:7" ht="31.5">
      <c r="A394" s="54" t="s">
        <v>24</v>
      </c>
      <c r="B394" s="54" t="s">
        <v>47</v>
      </c>
      <c r="C394" s="54">
        <v>1220500000</v>
      </c>
      <c r="D394" s="54"/>
      <c r="E394" s="55" t="s">
        <v>252</v>
      </c>
      <c r="F394" s="28">
        <f>F395</f>
        <v>33.200000000000003</v>
      </c>
      <c r="G394" s="28">
        <f t="shared" ref="G394:G396" si="131">G395</f>
        <v>33.200000000000003</v>
      </c>
    </row>
    <row r="395" spans="1:7">
      <c r="A395" s="54" t="s">
        <v>24</v>
      </c>
      <c r="B395" s="54" t="s">
        <v>47</v>
      </c>
      <c r="C395" s="54">
        <v>1220520320</v>
      </c>
      <c r="D395" s="54"/>
      <c r="E395" s="55" t="s">
        <v>176</v>
      </c>
      <c r="F395" s="28">
        <f>F396</f>
        <v>33.200000000000003</v>
      </c>
      <c r="G395" s="28">
        <f t="shared" si="131"/>
        <v>33.200000000000003</v>
      </c>
    </row>
    <row r="396" spans="1:7" ht="31.5">
      <c r="A396" s="54" t="s">
        <v>24</v>
      </c>
      <c r="B396" s="54" t="s">
        <v>47</v>
      </c>
      <c r="C396" s="54">
        <v>1220520320</v>
      </c>
      <c r="D396" s="56" t="s">
        <v>109</v>
      </c>
      <c r="E396" s="55" t="s">
        <v>110</v>
      </c>
      <c r="F396" s="28">
        <f>F397</f>
        <v>33.200000000000003</v>
      </c>
      <c r="G396" s="28">
        <f t="shared" si="131"/>
        <v>33.200000000000003</v>
      </c>
    </row>
    <row r="397" spans="1:7">
      <c r="A397" s="54" t="s">
        <v>24</v>
      </c>
      <c r="B397" s="54" t="s">
        <v>47</v>
      </c>
      <c r="C397" s="54">
        <v>1220520320</v>
      </c>
      <c r="D397" s="54">
        <v>610</v>
      </c>
      <c r="E397" s="55" t="s">
        <v>123</v>
      </c>
      <c r="F397" s="28">
        <v>33.200000000000003</v>
      </c>
      <c r="G397" s="28">
        <v>33.200000000000003</v>
      </c>
    </row>
    <row r="398" spans="1:7">
      <c r="A398" s="105" t="s">
        <v>24</v>
      </c>
      <c r="B398" s="105" t="s">
        <v>47</v>
      </c>
      <c r="C398" s="105">
        <v>9900000000</v>
      </c>
      <c r="D398" s="105"/>
      <c r="E398" s="106" t="s">
        <v>124</v>
      </c>
      <c r="F398" s="28">
        <f>F399</f>
        <v>200</v>
      </c>
      <c r="G398" s="28">
        <f t="shared" ref="G398:G401" si="132">G399</f>
        <v>200</v>
      </c>
    </row>
    <row r="399" spans="1:7" ht="47.25">
      <c r="A399" s="105" t="s">
        <v>24</v>
      </c>
      <c r="B399" s="105" t="s">
        <v>47</v>
      </c>
      <c r="C399" s="105">
        <v>9920000000</v>
      </c>
      <c r="D399" s="105"/>
      <c r="E399" s="106" t="s">
        <v>366</v>
      </c>
      <c r="F399" s="28">
        <f>F400</f>
        <v>200</v>
      </c>
      <c r="G399" s="28">
        <f t="shared" si="132"/>
        <v>200</v>
      </c>
    </row>
    <row r="400" spans="1:7" ht="35.25" customHeight="1">
      <c r="A400" s="105" t="s">
        <v>24</v>
      </c>
      <c r="B400" s="105" t="s">
        <v>47</v>
      </c>
      <c r="C400" s="105">
        <v>9920010920</v>
      </c>
      <c r="D400" s="105"/>
      <c r="E400" s="106" t="s">
        <v>367</v>
      </c>
      <c r="F400" s="28">
        <f>F401</f>
        <v>200</v>
      </c>
      <c r="G400" s="28">
        <f t="shared" si="132"/>
        <v>200</v>
      </c>
    </row>
    <row r="401" spans="1:7" ht="31.5">
      <c r="A401" s="105" t="s">
        <v>24</v>
      </c>
      <c r="B401" s="105" t="s">
        <v>47</v>
      </c>
      <c r="C401" s="105">
        <v>9920010920</v>
      </c>
      <c r="D401" s="107" t="s">
        <v>109</v>
      </c>
      <c r="E401" s="106" t="s">
        <v>110</v>
      </c>
      <c r="F401" s="28">
        <f>F402</f>
        <v>200</v>
      </c>
      <c r="G401" s="28">
        <f t="shared" si="132"/>
        <v>200</v>
      </c>
    </row>
    <row r="402" spans="1:7">
      <c r="A402" s="105" t="s">
        <v>24</v>
      </c>
      <c r="B402" s="105" t="s">
        <v>47</v>
      </c>
      <c r="C402" s="105">
        <v>9920010920</v>
      </c>
      <c r="D402" s="105">
        <v>610</v>
      </c>
      <c r="E402" s="106" t="s">
        <v>123</v>
      </c>
      <c r="F402" s="28">
        <v>200</v>
      </c>
      <c r="G402" s="28">
        <v>200</v>
      </c>
    </row>
    <row r="403" spans="1:7">
      <c r="A403" s="54" t="s">
        <v>24</v>
      </c>
      <c r="B403" s="54" t="s">
        <v>44</v>
      </c>
      <c r="C403" s="54" t="s">
        <v>72</v>
      </c>
      <c r="D403" s="54" t="s">
        <v>72</v>
      </c>
      <c r="E403" s="12" t="s">
        <v>36</v>
      </c>
      <c r="F403" s="28">
        <f>F404+F413</f>
        <v>11546.300000000001</v>
      </c>
      <c r="G403" s="28">
        <f t="shared" ref="G403" si="133">G404+G413</f>
        <v>11546.300000000001</v>
      </c>
    </row>
    <row r="404" spans="1:7">
      <c r="A404" s="54" t="s">
        <v>24</v>
      </c>
      <c r="B404" s="54" t="s">
        <v>59</v>
      </c>
      <c r="C404" s="54" t="s">
        <v>72</v>
      </c>
      <c r="D404" s="54" t="s">
        <v>72</v>
      </c>
      <c r="E404" s="55" t="s">
        <v>37</v>
      </c>
      <c r="F404" s="28">
        <f>F405</f>
        <v>1270.7</v>
      </c>
      <c r="G404" s="28">
        <f t="shared" ref="G404:G407" si="134">G405</f>
        <v>1270.7</v>
      </c>
    </row>
    <row r="405" spans="1:7" ht="47.25">
      <c r="A405" s="54" t="s">
        <v>24</v>
      </c>
      <c r="B405" s="54" t="s">
        <v>59</v>
      </c>
      <c r="C405" s="56">
        <v>1200000000</v>
      </c>
      <c r="D405" s="54"/>
      <c r="E405" s="55" t="s">
        <v>231</v>
      </c>
      <c r="F405" s="28">
        <f>F406</f>
        <v>1270.7</v>
      </c>
      <c r="G405" s="28">
        <f t="shared" si="134"/>
        <v>1270.7</v>
      </c>
    </row>
    <row r="406" spans="1:7" ht="31.5">
      <c r="A406" s="54" t="s">
        <v>24</v>
      </c>
      <c r="B406" s="54" t="s">
        <v>59</v>
      </c>
      <c r="C406" s="56">
        <v>1240000000</v>
      </c>
      <c r="D406" s="54"/>
      <c r="E406" s="55" t="s">
        <v>162</v>
      </c>
      <c r="F406" s="28">
        <f>F407</f>
        <v>1270.7</v>
      </c>
      <c r="G406" s="28">
        <f t="shared" si="134"/>
        <v>1270.7</v>
      </c>
    </row>
    <row r="407" spans="1:7">
      <c r="A407" s="54" t="s">
        <v>24</v>
      </c>
      <c r="B407" s="54" t="s">
        <v>59</v>
      </c>
      <c r="C407" s="54">
        <v>1240400000</v>
      </c>
      <c r="D407" s="54"/>
      <c r="E407" s="55" t="s">
        <v>253</v>
      </c>
      <c r="F407" s="28">
        <f>F408</f>
        <v>1270.7</v>
      </c>
      <c r="G407" s="28">
        <f t="shared" si="134"/>
        <v>1270.7</v>
      </c>
    </row>
    <row r="408" spans="1:7" ht="47.25">
      <c r="A408" s="54" t="s">
        <v>24</v>
      </c>
      <c r="B408" s="54" t="s">
        <v>59</v>
      </c>
      <c r="C408" s="54">
        <v>1240420390</v>
      </c>
      <c r="D408" s="54"/>
      <c r="E408" s="55" t="s">
        <v>73</v>
      </c>
      <c r="F408" s="28">
        <f>F409+F411</f>
        <v>1270.7</v>
      </c>
      <c r="G408" s="28">
        <f t="shared" ref="G408" si="135">G409+G411</f>
        <v>1270.7</v>
      </c>
    </row>
    <row r="409" spans="1:7" ht="31.5">
      <c r="A409" s="54" t="s">
        <v>24</v>
      </c>
      <c r="B409" s="54" t="s">
        <v>59</v>
      </c>
      <c r="C409" s="54">
        <v>1240420390</v>
      </c>
      <c r="D409" s="56" t="s">
        <v>75</v>
      </c>
      <c r="E409" s="55" t="s">
        <v>107</v>
      </c>
      <c r="F409" s="28">
        <f>F410</f>
        <v>7.3</v>
      </c>
      <c r="G409" s="28">
        <f t="shared" ref="G409" si="136">G410</f>
        <v>7.3</v>
      </c>
    </row>
    <row r="410" spans="1:7" ht="34.9" customHeight="1">
      <c r="A410" s="54" t="s">
        <v>24</v>
      </c>
      <c r="B410" s="54" t="s">
        <v>59</v>
      </c>
      <c r="C410" s="54">
        <v>1240420390</v>
      </c>
      <c r="D410" s="54">
        <v>240</v>
      </c>
      <c r="E410" s="178" t="s">
        <v>441</v>
      </c>
      <c r="F410" s="28">
        <f>48.1-33.6-7.2</f>
        <v>7.3</v>
      </c>
      <c r="G410" s="28">
        <v>7.3</v>
      </c>
    </row>
    <row r="411" spans="1:7">
      <c r="A411" s="54" t="s">
        <v>24</v>
      </c>
      <c r="B411" s="54" t="s">
        <v>59</v>
      </c>
      <c r="C411" s="54">
        <v>1240420390</v>
      </c>
      <c r="D411" s="56" t="s">
        <v>79</v>
      </c>
      <c r="E411" s="55" t="s">
        <v>80</v>
      </c>
      <c r="F411" s="28">
        <f>F412</f>
        <v>1263.4000000000001</v>
      </c>
      <c r="G411" s="28">
        <f t="shared" ref="G411" si="137">G412</f>
        <v>1263.4000000000001</v>
      </c>
    </row>
    <row r="412" spans="1:7">
      <c r="A412" s="54" t="s">
        <v>24</v>
      </c>
      <c r="B412" s="54" t="s">
        <v>59</v>
      </c>
      <c r="C412" s="54">
        <v>1240420390</v>
      </c>
      <c r="D412" s="56" t="s">
        <v>177</v>
      </c>
      <c r="E412" s="55" t="s">
        <v>178</v>
      </c>
      <c r="F412" s="28">
        <f>1601.9-156.6-181.9</f>
        <v>1263.4000000000001</v>
      </c>
      <c r="G412" s="28">
        <v>1263.4000000000001</v>
      </c>
    </row>
    <row r="413" spans="1:7">
      <c r="A413" s="54" t="s">
        <v>24</v>
      </c>
      <c r="B413" s="54" t="s">
        <v>45</v>
      </c>
      <c r="C413" s="54" t="s">
        <v>72</v>
      </c>
      <c r="D413" s="54" t="s">
        <v>72</v>
      </c>
      <c r="E413" s="55" t="s">
        <v>39</v>
      </c>
      <c r="F413" s="28">
        <f>F414</f>
        <v>10275.6</v>
      </c>
      <c r="G413" s="28">
        <f>G414</f>
        <v>10275.6</v>
      </c>
    </row>
    <row r="414" spans="1:7" ht="47.25">
      <c r="A414" s="54" t="s">
        <v>24</v>
      </c>
      <c r="B414" s="54" t="s">
        <v>45</v>
      </c>
      <c r="C414" s="56">
        <v>1200000000</v>
      </c>
      <c r="D414" s="54"/>
      <c r="E414" s="55" t="s">
        <v>231</v>
      </c>
      <c r="F414" s="28">
        <f>F415</f>
        <v>10275.6</v>
      </c>
      <c r="G414" s="28">
        <f t="shared" ref="G414:G416" si="138">G415</f>
        <v>10275.6</v>
      </c>
    </row>
    <row r="415" spans="1:7" ht="31.5">
      <c r="A415" s="54" t="s">
        <v>24</v>
      </c>
      <c r="B415" s="54" t="s">
        <v>45</v>
      </c>
      <c r="C415" s="56">
        <v>1240000000</v>
      </c>
      <c r="D415" s="54"/>
      <c r="E415" s="55" t="s">
        <v>162</v>
      </c>
      <c r="F415" s="28">
        <f>F416+F420+F426</f>
        <v>10275.6</v>
      </c>
      <c r="G415" s="28">
        <f t="shared" ref="G415" si="139">G416+G420+G426</f>
        <v>10275.6</v>
      </c>
    </row>
    <row r="416" spans="1:7" ht="31.5">
      <c r="A416" s="54" t="s">
        <v>24</v>
      </c>
      <c r="B416" s="54" t="s">
        <v>45</v>
      </c>
      <c r="C416" s="56">
        <v>1240100000</v>
      </c>
      <c r="D416" s="54"/>
      <c r="E416" s="55" t="s">
        <v>254</v>
      </c>
      <c r="F416" s="28">
        <f>F417</f>
        <v>385</v>
      </c>
      <c r="G416" s="28">
        <f t="shared" si="138"/>
        <v>385</v>
      </c>
    </row>
    <row r="417" spans="1:7" ht="31.5">
      <c r="A417" s="54" t="s">
        <v>24</v>
      </c>
      <c r="B417" s="54" t="s">
        <v>45</v>
      </c>
      <c r="C417" s="56">
        <v>1240120330</v>
      </c>
      <c r="D417" s="54"/>
      <c r="E417" s="55" t="s">
        <v>180</v>
      </c>
      <c r="F417" s="28">
        <f>F418</f>
        <v>385</v>
      </c>
      <c r="G417" s="28">
        <f t="shared" ref="G417:G418" si="140">G418</f>
        <v>385</v>
      </c>
    </row>
    <row r="418" spans="1:7" ht="31.5">
      <c r="A418" s="54" t="s">
        <v>24</v>
      </c>
      <c r="B418" s="54" t="s">
        <v>45</v>
      </c>
      <c r="C418" s="56">
        <v>1240120330</v>
      </c>
      <c r="D418" s="56" t="s">
        <v>109</v>
      </c>
      <c r="E418" s="55" t="s">
        <v>110</v>
      </c>
      <c r="F418" s="28">
        <f>F419</f>
        <v>385</v>
      </c>
      <c r="G418" s="28">
        <f t="shared" si="140"/>
        <v>385</v>
      </c>
    </row>
    <row r="419" spans="1:7" ht="31.5">
      <c r="A419" s="54" t="s">
        <v>24</v>
      </c>
      <c r="B419" s="54" t="s">
        <v>45</v>
      </c>
      <c r="C419" s="56">
        <v>1240120330</v>
      </c>
      <c r="D419" s="54">
        <v>630</v>
      </c>
      <c r="E419" s="55" t="s">
        <v>181</v>
      </c>
      <c r="F419" s="28">
        <f>408-23</f>
        <v>385</v>
      </c>
      <c r="G419" s="28">
        <v>385</v>
      </c>
    </row>
    <row r="420" spans="1:7" ht="31.5">
      <c r="A420" s="54" t="s">
        <v>24</v>
      </c>
      <c r="B420" s="54" t="s">
        <v>45</v>
      </c>
      <c r="C420" s="56">
        <v>1240200000</v>
      </c>
      <c r="D420" s="54"/>
      <c r="E420" s="55" t="s">
        <v>182</v>
      </c>
      <c r="F420" s="28">
        <f>F421</f>
        <v>102.1</v>
      </c>
      <c r="G420" s="28">
        <f t="shared" ref="G420" si="141">G421</f>
        <v>102.1</v>
      </c>
    </row>
    <row r="421" spans="1:7" ht="31.5">
      <c r="A421" s="54" t="s">
        <v>24</v>
      </c>
      <c r="B421" s="54" t="s">
        <v>45</v>
      </c>
      <c r="C421" s="56">
        <v>1240220350</v>
      </c>
      <c r="D421" s="54"/>
      <c r="E421" s="55" t="s">
        <v>255</v>
      </c>
      <c r="F421" s="28">
        <f>F422+F424</f>
        <v>102.1</v>
      </c>
      <c r="G421" s="28">
        <f t="shared" ref="G421" si="142">G422+G424</f>
        <v>102.1</v>
      </c>
    </row>
    <row r="422" spans="1:7" ht="31.5">
      <c r="A422" s="54" t="s">
        <v>24</v>
      </c>
      <c r="B422" s="54" t="s">
        <v>45</v>
      </c>
      <c r="C422" s="56">
        <v>1240220350</v>
      </c>
      <c r="D422" s="56" t="s">
        <v>75</v>
      </c>
      <c r="E422" s="55" t="s">
        <v>107</v>
      </c>
      <c r="F422" s="28">
        <f>F423</f>
        <v>1.1000000000000001</v>
      </c>
      <c r="G422" s="28">
        <f t="shared" ref="G422" si="143">G423</f>
        <v>1.1000000000000001</v>
      </c>
    </row>
    <row r="423" spans="1:7" ht="30.6" customHeight="1">
      <c r="A423" s="54" t="s">
        <v>24</v>
      </c>
      <c r="B423" s="54" t="s">
        <v>45</v>
      </c>
      <c r="C423" s="56">
        <v>1240220350</v>
      </c>
      <c r="D423" s="54">
        <v>240</v>
      </c>
      <c r="E423" s="178" t="s">
        <v>441</v>
      </c>
      <c r="F423" s="28">
        <f>3.9-2.8</f>
        <v>1.1000000000000001</v>
      </c>
      <c r="G423" s="28">
        <v>1.1000000000000001</v>
      </c>
    </row>
    <row r="424" spans="1:7">
      <c r="A424" s="54" t="s">
        <v>24</v>
      </c>
      <c r="B424" s="54" t="s">
        <v>45</v>
      </c>
      <c r="C424" s="56">
        <v>1240220350</v>
      </c>
      <c r="D424" s="54" t="s">
        <v>79</v>
      </c>
      <c r="E424" s="55" t="s">
        <v>80</v>
      </c>
      <c r="F424" s="28">
        <f>F425</f>
        <v>101</v>
      </c>
      <c r="G424" s="28">
        <f t="shared" ref="G424" si="144">G425</f>
        <v>101</v>
      </c>
    </row>
    <row r="425" spans="1:7">
      <c r="A425" s="54" t="s">
        <v>24</v>
      </c>
      <c r="B425" s="54" t="s">
        <v>45</v>
      </c>
      <c r="C425" s="56">
        <v>1240220350</v>
      </c>
      <c r="D425" s="54" t="s">
        <v>177</v>
      </c>
      <c r="E425" s="55" t="s">
        <v>178</v>
      </c>
      <c r="F425" s="28">
        <f>128-27</f>
        <v>101</v>
      </c>
      <c r="G425" s="28">
        <v>101</v>
      </c>
    </row>
    <row r="426" spans="1:7">
      <c r="A426" s="54" t="s">
        <v>24</v>
      </c>
      <c r="B426" s="54" t="s">
        <v>45</v>
      </c>
      <c r="C426" s="54">
        <v>1240400000</v>
      </c>
      <c r="D426" s="54"/>
      <c r="E426" s="55" t="s">
        <v>253</v>
      </c>
      <c r="F426" s="28">
        <f>F427+F430</f>
        <v>9788.5</v>
      </c>
      <c r="G426" s="28">
        <f t="shared" ref="G426" si="145">G427+G430</f>
        <v>9788.5</v>
      </c>
    </row>
    <row r="427" spans="1:7" ht="31.5">
      <c r="A427" s="54" t="s">
        <v>24</v>
      </c>
      <c r="B427" s="54" t="s">
        <v>45</v>
      </c>
      <c r="C427" s="54">
        <v>1240420380</v>
      </c>
      <c r="D427" s="54"/>
      <c r="E427" s="55" t="s">
        <v>179</v>
      </c>
      <c r="F427" s="28">
        <f>F428</f>
        <v>217</v>
      </c>
      <c r="G427" s="28">
        <f t="shared" ref="G427:G428" si="146">G428</f>
        <v>217</v>
      </c>
    </row>
    <row r="428" spans="1:7">
      <c r="A428" s="54" t="s">
        <v>24</v>
      </c>
      <c r="B428" s="54" t="s">
        <v>45</v>
      </c>
      <c r="C428" s="54">
        <v>1240420380</v>
      </c>
      <c r="D428" s="56" t="s">
        <v>79</v>
      </c>
      <c r="E428" s="55" t="s">
        <v>80</v>
      </c>
      <c r="F428" s="28">
        <f>F429</f>
        <v>217</v>
      </c>
      <c r="G428" s="28">
        <f t="shared" si="146"/>
        <v>217</v>
      </c>
    </row>
    <row r="429" spans="1:7" ht="31.5">
      <c r="A429" s="54" t="s">
        <v>24</v>
      </c>
      <c r="B429" s="54" t="s">
        <v>45</v>
      </c>
      <c r="C429" s="54">
        <v>1240420380</v>
      </c>
      <c r="D429" s="56" t="s">
        <v>120</v>
      </c>
      <c r="E429" s="55" t="s">
        <v>121</v>
      </c>
      <c r="F429" s="28">
        <v>217</v>
      </c>
      <c r="G429" s="28">
        <v>217</v>
      </c>
    </row>
    <row r="430" spans="1:7">
      <c r="A430" s="66" t="s">
        <v>24</v>
      </c>
      <c r="B430" s="66" t="s">
        <v>45</v>
      </c>
      <c r="C430" s="66" t="s">
        <v>340</v>
      </c>
      <c r="D430" s="66"/>
      <c r="E430" s="150" t="s">
        <v>339</v>
      </c>
      <c r="F430" s="28">
        <f t="shared" ref="F430:G431" si="147">F431</f>
        <v>9571.5</v>
      </c>
      <c r="G430" s="28">
        <f t="shared" si="147"/>
        <v>9571.5</v>
      </c>
    </row>
    <row r="431" spans="1:7">
      <c r="A431" s="66" t="s">
        <v>24</v>
      </c>
      <c r="B431" s="66" t="s">
        <v>45</v>
      </c>
      <c r="C431" s="66" t="s">
        <v>340</v>
      </c>
      <c r="D431" s="1" t="s">
        <v>79</v>
      </c>
      <c r="E431" s="36" t="s">
        <v>80</v>
      </c>
      <c r="F431" s="28">
        <f t="shared" si="147"/>
        <v>9571.5</v>
      </c>
      <c r="G431" s="28">
        <f t="shared" si="147"/>
        <v>9571.5</v>
      </c>
    </row>
    <row r="432" spans="1:7" ht="31.5">
      <c r="A432" s="66" t="s">
        <v>24</v>
      </c>
      <c r="B432" s="66" t="s">
        <v>45</v>
      </c>
      <c r="C432" s="66" t="s">
        <v>340</v>
      </c>
      <c r="D432" s="1" t="s">
        <v>120</v>
      </c>
      <c r="E432" s="36" t="s">
        <v>121</v>
      </c>
      <c r="F432" s="28">
        <f>7666.3+1870.8+34.4</f>
        <v>9571.5</v>
      </c>
      <c r="G432" s="28">
        <v>9571.5</v>
      </c>
    </row>
    <row r="433" spans="1:7">
      <c r="A433" s="54" t="s">
        <v>24</v>
      </c>
      <c r="B433" s="54" t="s">
        <v>67</v>
      </c>
      <c r="C433" s="54" t="s">
        <v>72</v>
      </c>
      <c r="D433" s="54" t="s">
        <v>72</v>
      </c>
      <c r="E433" s="55" t="s">
        <v>35</v>
      </c>
      <c r="F433" s="28">
        <f>F434</f>
        <v>9047.7000000000007</v>
      </c>
      <c r="G433" s="28">
        <f t="shared" ref="G433" si="148">G434</f>
        <v>9018.7000000000007</v>
      </c>
    </row>
    <row r="434" spans="1:7">
      <c r="A434" s="54" t="s">
        <v>24</v>
      </c>
      <c r="B434" s="54" t="s">
        <v>93</v>
      </c>
      <c r="C434" s="54" t="s">
        <v>72</v>
      </c>
      <c r="D434" s="54" t="s">
        <v>72</v>
      </c>
      <c r="E434" s="55" t="s">
        <v>68</v>
      </c>
      <c r="F434" s="28">
        <f>F435</f>
        <v>9047.7000000000007</v>
      </c>
      <c r="G434" s="28">
        <f t="shared" ref="G434:G435" si="149">G435</f>
        <v>9018.7000000000007</v>
      </c>
    </row>
    <row r="435" spans="1:7" ht="47.25">
      <c r="A435" s="54" t="s">
        <v>24</v>
      </c>
      <c r="B435" s="54" t="s">
        <v>93</v>
      </c>
      <c r="C435" s="56">
        <v>1200000000</v>
      </c>
      <c r="D435" s="54"/>
      <c r="E435" s="55" t="s">
        <v>231</v>
      </c>
      <c r="F435" s="28">
        <f>F436</f>
        <v>9047.7000000000007</v>
      </c>
      <c r="G435" s="28">
        <f t="shared" si="149"/>
        <v>9018.7000000000007</v>
      </c>
    </row>
    <row r="436" spans="1:7">
      <c r="A436" s="54" t="s">
        <v>24</v>
      </c>
      <c r="B436" s="54" t="s">
        <v>93</v>
      </c>
      <c r="C436" s="54">
        <v>1230000000</v>
      </c>
      <c r="D436" s="54"/>
      <c r="E436" s="55" t="s">
        <v>257</v>
      </c>
      <c r="F436" s="28">
        <f>F437+F447+F461+F451</f>
        <v>9047.7000000000007</v>
      </c>
      <c r="G436" s="28">
        <f>G437+G447+G461+G451</f>
        <v>9018.7000000000007</v>
      </c>
    </row>
    <row r="437" spans="1:7" ht="33" customHeight="1">
      <c r="A437" s="54" t="s">
        <v>24</v>
      </c>
      <c r="B437" s="54" t="s">
        <v>93</v>
      </c>
      <c r="C437" s="54">
        <v>1230100000</v>
      </c>
      <c r="D437" s="54"/>
      <c r="E437" s="55" t="s">
        <v>258</v>
      </c>
      <c r="F437" s="28">
        <f>F441+F438+F444</f>
        <v>7529.2</v>
      </c>
      <c r="G437" s="28">
        <f t="shared" ref="G437" si="150">G441+G438+G444</f>
        <v>7529.2</v>
      </c>
    </row>
    <row r="438" spans="1:7" ht="48" customHeight="1">
      <c r="A438" s="81" t="s">
        <v>24</v>
      </c>
      <c r="B438" s="3" t="s">
        <v>93</v>
      </c>
      <c r="C438" s="81">
        <v>1230110200</v>
      </c>
      <c r="D438" s="81"/>
      <c r="E438" s="9" t="s">
        <v>349</v>
      </c>
      <c r="F438" s="28">
        <f>F439</f>
        <v>624.9</v>
      </c>
      <c r="G438" s="28">
        <f t="shared" ref="G438:G439" si="151">G439</f>
        <v>624.9</v>
      </c>
    </row>
    <row r="439" spans="1:7" ht="31.5">
      <c r="A439" s="81" t="s">
        <v>24</v>
      </c>
      <c r="B439" s="3" t="s">
        <v>93</v>
      </c>
      <c r="C439" s="81">
        <v>1230110200</v>
      </c>
      <c r="D439" s="83" t="s">
        <v>109</v>
      </c>
      <c r="E439" s="82" t="s">
        <v>110</v>
      </c>
      <c r="F439" s="28">
        <f>F440</f>
        <v>624.9</v>
      </c>
      <c r="G439" s="28">
        <f t="shared" si="151"/>
        <v>624.9</v>
      </c>
    </row>
    <row r="440" spans="1:7">
      <c r="A440" s="81" t="s">
        <v>24</v>
      </c>
      <c r="B440" s="81" t="s">
        <v>93</v>
      </c>
      <c r="C440" s="81">
        <v>1230110200</v>
      </c>
      <c r="D440" s="81">
        <v>610</v>
      </c>
      <c r="E440" s="82" t="s">
        <v>123</v>
      </c>
      <c r="F440" s="28">
        <f>301.9+23.5+299.5</f>
        <v>624.9</v>
      </c>
      <c r="G440" s="28">
        <v>624.9</v>
      </c>
    </row>
    <row r="441" spans="1:7" ht="31.5">
      <c r="A441" s="54" t="s">
        <v>24</v>
      </c>
      <c r="B441" s="3" t="s">
        <v>93</v>
      </c>
      <c r="C441" s="54">
        <v>1230120010</v>
      </c>
      <c r="D441" s="54"/>
      <c r="E441" s="55" t="s">
        <v>144</v>
      </c>
      <c r="F441" s="28">
        <f>F442</f>
        <v>6841.8</v>
      </c>
      <c r="G441" s="28">
        <f t="shared" ref="G441:G442" si="152">G442</f>
        <v>6841.8</v>
      </c>
    </row>
    <row r="442" spans="1:7" ht="31.5">
      <c r="A442" s="54" t="s">
        <v>24</v>
      </c>
      <c r="B442" s="3" t="s">
        <v>93</v>
      </c>
      <c r="C442" s="54">
        <v>1230120010</v>
      </c>
      <c r="D442" s="56" t="s">
        <v>109</v>
      </c>
      <c r="E442" s="55" t="s">
        <v>110</v>
      </c>
      <c r="F442" s="28">
        <f>F443</f>
        <v>6841.8</v>
      </c>
      <c r="G442" s="28">
        <f t="shared" si="152"/>
        <v>6841.8</v>
      </c>
    </row>
    <row r="443" spans="1:7">
      <c r="A443" s="54" t="s">
        <v>24</v>
      </c>
      <c r="B443" s="54" t="s">
        <v>93</v>
      </c>
      <c r="C443" s="54">
        <v>1230120010</v>
      </c>
      <c r="D443" s="54">
        <v>610</v>
      </c>
      <c r="E443" s="55" t="s">
        <v>123</v>
      </c>
      <c r="F443" s="28">
        <f>6874.1-2.3-30</f>
        <v>6841.8</v>
      </c>
      <c r="G443" s="28">
        <v>6841.8</v>
      </c>
    </row>
    <row r="444" spans="1:7" ht="48.75" customHeight="1">
      <c r="A444" s="84" t="s">
        <v>24</v>
      </c>
      <c r="B444" s="3" t="s">
        <v>93</v>
      </c>
      <c r="C444" s="84" t="s">
        <v>355</v>
      </c>
      <c r="D444" s="84"/>
      <c r="E444" s="9" t="s">
        <v>354</v>
      </c>
      <c r="F444" s="28">
        <f>F445</f>
        <v>62.5</v>
      </c>
      <c r="G444" s="28">
        <f t="shared" ref="G444:G445" si="153">G445</f>
        <v>62.5</v>
      </c>
    </row>
    <row r="445" spans="1:7" ht="31.5">
      <c r="A445" s="84" t="s">
        <v>24</v>
      </c>
      <c r="B445" s="3" t="s">
        <v>93</v>
      </c>
      <c r="C445" s="84" t="s">
        <v>355</v>
      </c>
      <c r="D445" s="86" t="s">
        <v>109</v>
      </c>
      <c r="E445" s="85" t="s">
        <v>110</v>
      </c>
      <c r="F445" s="28">
        <f>F446</f>
        <v>62.5</v>
      </c>
      <c r="G445" s="28">
        <f t="shared" si="153"/>
        <v>62.5</v>
      </c>
    </row>
    <row r="446" spans="1:7">
      <c r="A446" s="84" t="s">
        <v>24</v>
      </c>
      <c r="B446" s="84" t="s">
        <v>93</v>
      </c>
      <c r="C446" s="84" t="s">
        <v>355</v>
      </c>
      <c r="D446" s="84">
        <v>610</v>
      </c>
      <c r="E446" s="85" t="s">
        <v>123</v>
      </c>
      <c r="F446" s="28">
        <f>30.2+2.3+30</f>
        <v>62.5</v>
      </c>
      <c r="G446" s="28">
        <v>62.5</v>
      </c>
    </row>
    <row r="447" spans="1:7" ht="63">
      <c r="A447" s="54" t="s">
        <v>24</v>
      </c>
      <c r="B447" s="54" t="s">
        <v>93</v>
      </c>
      <c r="C447" s="54">
        <v>1230200000</v>
      </c>
      <c r="D447" s="54"/>
      <c r="E447" s="55" t="s">
        <v>259</v>
      </c>
      <c r="F447" s="28">
        <f>F448</f>
        <v>199.8</v>
      </c>
      <c r="G447" s="28">
        <f t="shared" ref="G447:G449" si="154">G448</f>
        <v>199.8</v>
      </c>
    </row>
    <row r="448" spans="1:7">
      <c r="A448" s="54" t="s">
        <v>24</v>
      </c>
      <c r="B448" s="54" t="s">
        <v>93</v>
      </c>
      <c r="C448" s="54">
        <v>1230220040</v>
      </c>
      <c r="D448" s="54"/>
      <c r="E448" s="55" t="s">
        <v>260</v>
      </c>
      <c r="F448" s="28">
        <f>F449</f>
        <v>199.8</v>
      </c>
      <c r="G448" s="28">
        <f t="shared" si="154"/>
        <v>199.8</v>
      </c>
    </row>
    <row r="449" spans="1:7" ht="31.5">
      <c r="A449" s="54" t="s">
        <v>24</v>
      </c>
      <c r="B449" s="54" t="s">
        <v>93</v>
      </c>
      <c r="C449" s="54">
        <v>1230220040</v>
      </c>
      <c r="D449" s="56" t="s">
        <v>109</v>
      </c>
      <c r="E449" s="55" t="s">
        <v>110</v>
      </c>
      <c r="F449" s="28">
        <f>F450</f>
        <v>199.8</v>
      </c>
      <c r="G449" s="28">
        <f t="shared" si="154"/>
        <v>199.8</v>
      </c>
    </row>
    <row r="450" spans="1:7">
      <c r="A450" s="54" t="s">
        <v>24</v>
      </c>
      <c r="B450" s="54" t="s">
        <v>93</v>
      </c>
      <c r="C450" s="54">
        <v>1230220040</v>
      </c>
      <c r="D450" s="54">
        <v>610</v>
      </c>
      <c r="E450" s="55" t="s">
        <v>123</v>
      </c>
      <c r="F450" s="28">
        <v>199.8</v>
      </c>
      <c r="G450" s="28">
        <v>199.8</v>
      </c>
    </row>
    <row r="451" spans="1:7">
      <c r="A451" s="81" t="s">
        <v>24</v>
      </c>
      <c r="B451" s="81" t="s">
        <v>93</v>
      </c>
      <c r="C451" s="81">
        <v>1230500000</v>
      </c>
      <c r="D451" s="81"/>
      <c r="E451" s="82" t="s">
        <v>317</v>
      </c>
      <c r="F451" s="28">
        <f>F452+F458+F455</f>
        <v>548</v>
      </c>
      <c r="G451" s="28">
        <f>G452+G458+G455</f>
        <v>519.20000000000005</v>
      </c>
    </row>
    <row r="452" spans="1:7" ht="47.25">
      <c r="A452" s="81" t="s">
        <v>24</v>
      </c>
      <c r="B452" s="81" t="s">
        <v>93</v>
      </c>
      <c r="C452" s="81">
        <v>1230510400</v>
      </c>
      <c r="D452" s="81"/>
      <c r="E452" s="82" t="s">
        <v>343</v>
      </c>
      <c r="F452" s="28">
        <f>F453</f>
        <v>403</v>
      </c>
      <c r="G452" s="28">
        <f t="shared" ref="G452:G453" si="155">G453</f>
        <v>403</v>
      </c>
    </row>
    <row r="453" spans="1:7" ht="31.5">
      <c r="A453" s="81" t="s">
        <v>24</v>
      </c>
      <c r="B453" s="81" t="s">
        <v>93</v>
      </c>
      <c r="C453" s="81">
        <v>1230510400</v>
      </c>
      <c r="D453" s="83" t="s">
        <v>75</v>
      </c>
      <c r="E453" s="82" t="s">
        <v>107</v>
      </c>
      <c r="F453" s="28">
        <f>F454</f>
        <v>403</v>
      </c>
      <c r="G453" s="28">
        <f t="shared" si="155"/>
        <v>403</v>
      </c>
    </row>
    <row r="454" spans="1:7" ht="35.450000000000003" customHeight="1">
      <c r="A454" s="81" t="s">
        <v>24</v>
      </c>
      <c r="B454" s="81" t="s">
        <v>93</v>
      </c>
      <c r="C454" s="81">
        <v>1230510400</v>
      </c>
      <c r="D454" s="81">
        <v>240</v>
      </c>
      <c r="E454" s="178" t="s">
        <v>441</v>
      </c>
      <c r="F454" s="28">
        <f>280+179-56</f>
        <v>403</v>
      </c>
      <c r="G454" s="28">
        <v>403</v>
      </c>
    </row>
    <row r="455" spans="1:7" ht="32.25" customHeight="1">
      <c r="A455" s="149" t="s">
        <v>24</v>
      </c>
      <c r="B455" s="149" t="s">
        <v>93</v>
      </c>
      <c r="C455" s="149">
        <v>1230520300</v>
      </c>
      <c r="D455" s="149"/>
      <c r="E455" s="150" t="s">
        <v>416</v>
      </c>
      <c r="F455" s="28">
        <f>F456</f>
        <v>37</v>
      </c>
      <c r="G455" s="28">
        <f t="shared" ref="G455:G456" si="156">G456</f>
        <v>8.1999999999999993</v>
      </c>
    </row>
    <row r="456" spans="1:7" ht="35.450000000000003" customHeight="1">
      <c r="A456" s="149" t="s">
        <v>24</v>
      </c>
      <c r="B456" s="149" t="s">
        <v>93</v>
      </c>
      <c r="C456" s="149">
        <v>1230520300</v>
      </c>
      <c r="D456" s="151" t="s">
        <v>78</v>
      </c>
      <c r="E456" s="150" t="s">
        <v>108</v>
      </c>
      <c r="F456" s="28">
        <f>F457</f>
        <v>37</v>
      </c>
      <c r="G456" s="28">
        <f t="shared" si="156"/>
        <v>8.1999999999999993</v>
      </c>
    </row>
    <row r="457" spans="1:7" ht="18.75" customHeight="1">
      <c r="A457" s="149" t="s">
        <v>24</v>
      </c>
      <c r="B457" s="149" t="s">
        <v>93</v>
      </c>
      <c r="C457" s="149">
        <v>1230520300</v>
      </c>
      <c r="D457" s="151" t="s">
        <v>140</v>
      </c>
      <c r="E457" s="150" t="s">
        <v>141</v>
      </c>
      <c r="F457" s="28">
        <f>54.6-17.6</f>
        <v>37</v>
      </c>
      <c r="G457" s="28">
        <v>8.1999999999999993</v>
      </c>
    </row>
    <row r="458" spans="1:7" ht="47.25">
      <c r="A458" s="81" t="s">
        <v>24</v>
      </c>
      <c r="B458" s="81" t="s">
        <v>93</v>
      </c>
      <c r="C458" s="81" t="s">
        <v>318</v>
      </c>
      <c r="D458" s="81"/>
      <c r="E458" s="87" t="s">
        <v>319</v>
      </c>
      <c r="F458" s="28">
        <f>F459</f>
        <v>108</v>
      </c>
      <c r="G458" s="28">
        <f t="shared" ref="G458:G459" si="157">G459</f>
        <v>108</v>
      </c>
    </row>
    <row r="459" spans="1:7" ht="31.5">
      <c r="A459" s="81" t="s">
        <v>24</v>
      </c>
      <c r="B459" s="81" t="s">
        <v>93</v>
      </c>
      <c r="C459" s="81" t="s">
        <v>318</v>
      </c>
      <c r="D459" s="83" t="s">
        <v>75</v>
      </c>
      <c r="E459" s="82" t="s">
        <v>107</v>
      </c>
      <c r="F459" s="28">
        <f>F460</f>
        <v>108</v>
      </c>
      <c r="G459" s="28">
        <f t="shared" si="157"/>
        <v>108</v>
      </c>
    </row>
    <row r="460" spans="1:7" ht="31.15" customHeight="1">
      <c r="A460" s="81" t="s">
        <v>24</v>
      </c>
      <c r="B460" s="81" t="s">
        <v>93</v>
      </c>
      <c r="C460" s="81" t="s">
        <v>318</v>
      </c>
      <c r="D460" s="81">
        <v>240</v>
      </c>
      <c r="E460" s="178" t="s">
        <v>441</v>
      </c>
      <c r="F460" s="28">
        <f>794.6-493.6-104-89</f>
        <v>108</v>
      </c>
      <c r="G460" s="28">
        <v>108</v>
      </c>
    </row>
    <row r="461" spans="1:7" ht="31.5">
      <c r="A461" s="54" t="s">
        <v>24</v>
      </c>
      <c r="B461" s="54" t="s">
        <v>93</v>
      </c>
      <c r="C461" s="54">
        <v>1230600000</v>
      </c>
      <c r="D461" s="54"/>
      <c r="E461" s="55" t="s">
        <v>261</v>
      </c>
      <c r="F461" s="28">
        <f>F462+F469+F472</f>
        <v>770.7</v>
      </c>
      <c r="G461" s="28">
        <f t="shared" ref="G461" si="158">G462+G469+G472</f>
        <v>770.5</v>
      </c>
    </row>
    <row r="462" spans="1:7" ht="31.5">
      <c r="A462" s="54" t="s">
        <v>24</v>
      </c>
      <c r="B462" s="54" t="s">
        <v>93</v>
      </c>
      <c r="C462" s="54">
        <v>1230620300</v>
      </c>
      <c r="D462" s="54"/>
      <c r="E462" s="55" t="s">
        <v>262</v>
      </c>
      <c r="F462" s="28">
        <f>F463+F465+F467</f>
        <v>257.10000000000002</v>
      </c>
      <c r="G462" s="28">
        <f t="shared" ref="G462" si="159">G463+G465+G467</f>
        <v>257.10000000000002</v>
      </c>
    </row>
    <row r="463" spans="1:7" ht="63">
      <c r="A463" s="54" t="s">
        <v>24</v>
      </c>
      <c r="B463" s="54" t="s">
        <v>93</v>
      </c>
      <c r="C463" s="54">
        <v>1230620300</v>
      </c>
      <c r="D463" s="56" t="s">
        <v>74</v>
      </c>
      <c r="E463" s="55" t="s">
        <v>2</v>
      </c>
      <c r="F463" s="28">
        <f>F464</f>
        <v>64.800000000000011</v>
      </c>
      <c r="G463" s="28">
        <f t="shared" ref="G463" si="160">G464</f>
        <v>64.8</v>
      </c>
    </row>
    <row r="464" spans="1:7" ht="33" customHeight="1">
      <c r="A464" s="54" t="s">
        <v>24</v>
      </c>
      <c r="B464" s="54" t="s">
        <v>93</v>
      </c>
      <c r="C464" s="54">
        <v>1230620300</v>
      </c>
      <c r="D464" s="54">
        <v>120</v>
      </c>
      <c r="E464" s="55" t="s">
        <v>443</v>
      </c>
      <c r="F464" s="28">
        <f>86.2-21.4</f>
        <v>64.800000000000011</v>
      </c>
      <c r="G464" s="28">
        <v>64.8</v>
      </c>
    </row>
    <row r="465" spans="1:7" ht="31.5">
      <c r="A465" s="54" t="s">
        <v>24</v>
      </c>
      <c r="B465" s="54" t="s">
        <v>93</v>
      </c>
      <c r="C465" s="54">
        <v>1230620300</v>
      </c>
      <c r="D465" s="56" t="s">
        <v>75</v>
      </c>
      <c r="E465" s="55" t="s">
        <v>107</v>
      </c>
      <c r="F465" s="28">
        <f>F466</f>
        <v>89.8</v>
      </c>
      <c r="G465" s="28">
        <f t="shared" ref="G465" si="161">G466</f>
        <v>89.8</v>
      </c>
    </row>
    <row r="466" spans="1:7" ht="31.15" customHeight="1">
      <c r="A466" s="54" t="s">
        <v>24</v>
      </c>
      <c r="B466" s="54" t="s">
        <v>93</v>
      </c>
      <c r="C466" s="54">
        <v>1230620300</v>
      </c>
      <c r="D466" s="54">
        <v>240</v>
      </c>
      <c r="E466" s="178" t="s">
        <v>441</v>
      </c>
      <c r="F466" s="28">
        <f>115.8-26</f>
        <v>89.8</v>
      </c>
      <c r="G466" s="28">
        <v>89.8</v>
      </c>
    </row>
    <row r="467" spans="1:7">
      <c r="A467" s="54" t="s">
        <v>24</v>
      </c>
      <c r="B467" s="54" t="s">
        <v>93</v>
      </c>
      <c r="C467" s="54">
        <v>1230620300</v>
      </c>
      <c r="D467" s="54" t="s">
        <v>76</v>
      </c>
      <c r="E467" s="55" t="s">
        <v>77</v>
      </c>
      <c r="F467" s="28">
        <f>F468</f>
        <v>102.5</v>
      </c>
      <c r="G467" s="28">
        <f t="shared" ref="G467" si="162">G468</f>
        <v>102.5</v>
      </c>
    </row>
    <row r="468" spans="1:7">
      <c r="A468" s="54" t="s">
        <v>24</v>
      </c>
      <c r="B468" s="54" t="s">
        <v>93</v>
      </c>
      <c r="C468" s="54">
        <v>1230620300</v>
      </c>
      <c r="D468" s="54">
        <v>850</v>
      </c>
      <c r="E468" s="55" t="s">
        <v>119</v>
      </c>
      <c r="F468" s="28">
        <f>103.5-1</f>
        <v>102.5</v>
      </c>
      <c r="G468" s="28">
        <v>102.5</v>
      </c>
    </row>
    <row r="469" spans="1:7" ht="31.5">
      <c r="A469" s="54" t="s">
        <v>24</v>
      </c>
      <c r="B469" s="54" t="s">
        <v>93</v>
      </c>
      <c r="C469" s="54">
        <v>1230620310</v>
      </c>
      <c r="D469" s="54"/>
      <c r="E469" s="55" t="s">
        <v>263</v>
      </c>
      <c r="F469" s="28">
        <f>F470</f>
        <v>23.9</v>
      </c>
      <c r="G469" s="28">
        <f t="shared" ref="G469:G470" si="163">G470</f>
        <v>23.9</v>
      </c>
    </row>
    <row r="470" spans="1:7" ht="31.5">
      <c r="A470" s="54" t="s">
        <v>24</v>
      </c>
      <c r="B470" s="54" t="s">
        <v>93</v>
      </c>
      <c r="C470" s="54">
        <v>1230620310</v>
      </c>
      <c r="D470" s="56" t="s">
        <v>75</v>
      </c>
      <c r="E470" s="55" t="s">
        <v>107</v>
      </c>
      <c r="F470" s="28">
        <f>F471</f>
        <v>23.9</v>
      </c>
      <c r="G470" s="28">
        <f t="shared" si="163"/>
        <v>23.9</v>
      </c>
    </row>
    <row r="471" spans="1:7" ht="31.15" customHeight="1">
      <c r="A471" s="54" t="s">
        <v>24</v>
      </c>
      <c r="B471" s="54" t="s">
        <v>93</v>
      </c>
      <c r="C471" s="54">
        <v>1230620310</v>
      </c>
      <c r="D471" s="54">
        <v>240</v>
      </c>
      <c r="E471" s="178" t="s">
        <v>441</v>
      </c>
      <c r="F471" s="28">
        <v>23.9</v>
      </c>
      <c r="G471" s="28">
        <v>23.9</v>
      </c>
    </row>
    <row r="472" spans="1:7">
      <c r="A472" s="54" t="s">
        <v>24</v>
      </c>
      <c r="B472" s="54" t="s">
        <v>93</v>
      </c>
      <c r="C472" s="54">
        <v>1230620320</v>
      </c>
      <c r="D472" s="54"/>
      <c r="E472" s="55" t="s">
        <v>176</v>
      </c>
      <c r="F472" s="28">
        <f>F473+F475+F477</f>
        <v>489.70000000000005</v>
      </c>
      <c r="G472" s="28">
        <f t="shared" ref="G472" si="164">G473+G475+G477</f>
        <v>489.5</v>
      </c>
    </row>
    <row r="473" spans="1:7" ht="63">
      <c r="A473" s="54" t="s">
        <v>24</v>
      </c>
      <c r="B473" s="54" t="s">
        <v>93</v>
      </c>
      <c r="C473" s="54">
        <v>1230620320</v>
      </c>
      <c r="D473" s="56" t="s">
        <v>74</v>
      </c>
      <c r="E473" s="55" t="s">
        <v>2</v>
      </c>
      <c r="F473" s="28">
        <f>F474</f>
        <v>271.7</v>
      </c>
      <c r="G473" s="28">
        <f t="shared" ref="G473" si="165">G474</f>
        <v>271.5</v>
      </c>
    </row>
    <row r="474" spans="1:7" ht="33" customHeight="1">
      <c r="A474" s="54" t="s">
        <v>24</v>
      </c>
      <c r="B474" s="54" t="s">
        <v>93</v>
      </c>
      <c r="C474" s="54">
        <v>1230620320</v>
      </c>
      <c r="D474" s="54">
        <v>120</v>
      </c>
      <c r="E474" s="55" t="s">
        <v>443</v>
      </c>
      <c r="F474" s="28">
        <f>205.7+66</f>
        <v>271.7</v>
      </c>
      <c r="G474" s="28">
        <v>271.5</v>
      </c>
    </row>
    <row r="475" spans="1:7" ht="31.5">
      <c r="A475" s="54" t="s">
        <v>24</v>
      </c>
      <c r="B475" s="54" t="s">
        <v>93</v>
      </c>
      <c r="C475" s="54">
        <v>1230620320</v>
      </c>
      <c r="D475" s="56" t="s">
        <v>75</v>
      </c>
      <c r="E475" s="55" t="s">
        <v>107</v>
      </c>
      <c r="F475" s="28">
        <f>F476</f>
        <v>137.4</v>
      </c>
      <c r="G475" s="28">
        <f t="shared" ref="G475" si="166">G476</f>
        <v>137.4</v>
      </c>
    </row>
    <row r="476" spans="1:7" ht="33" customHeight="1">
      <c r="A476" s="54" t="s">
        <v>24</v>
      </c>
      <c r="B476" s="54" t="s">
        <v>93</v>
      </c>
      <c r="C476" s="54">
        <v>1230620320</v>
      </c>
      <c r="D476" s="54">
        <v>240</v>
      </c>
      <c r="E476" s="178" t="s">
        <v>441</v>
      </c>
      <c r="F476" s="28">
        <v>137.4</v>
      </c>
      <c r="G476" s="28">
        <v>137.4</v>
      </c>
    </row>
    <row r="477" spans="1:7" ht="31.5">
      <c r="A477" s="54" t="s">
        <v>24</v>
      </c>
      <c r="B477" s="54" t="s">
        <v>93</v>
      </c>
      <c r="C477" s="54">
        <v>1230620320</v>
      </c>
      <c r="D477" s="56" t="s">
        <v>109</v>
      </c>
      <c r="E477" s="55" t="s">
        <v>110</v>
      </c>
      <c r="F477" s="28">
        <f>F478</f>
        <v>80.599999999999994</v>
      </c>
      <c r="G477" s="28">
        <f t="shared" ref="G477" si="167">G478</f>
        <v>80.599999999999994</v>
      </c>
    </row>
    <row r="478" spans="1:7">
      <c r="A478" s="54" t="s">
        <v>24</v>
      </c>
      <c r="B478" s="54" t="s">
        <v>93</v>
      </c>
      <c r="C478" s="54">
        <v>1230620320</v>
      </c>
      <c r="D478" s="54">
        <v>610</v>
      </c>
      <c r="E478" s="55" t="s">
        <v>123</v>
      </c>
      <c r="F478" s="28">
        <f>20.6+60</f>
        <v>80.599999999999994</v>
      </c>
      <c r="G478" s="28">
        <v>80.599999999999994</v>
      </c>
    </row>
    <row r="479" spans="1:7">
      <c r="A479" s="54" t="s">
        <v>24</v>
      </c>
      <c r="B479" s="54" t="s">
        <v>102</v>
      </c>
      <c r="C479" s="54" t="s">
        <v>72</v>
      </c>
      <c r="D479" s="54" t="s">
        <v>72</v>
      </c>
      <c r="E479" s="9" t="s">
        <v>69</v>
      </c>
      <c r="F479" s="28">
        <f>F480</f>
        <v>2824.2</v>
      </c>
      <c r="G479" s="28">
        <f t="shared" ref="G479:G482" si="168">G480</f>
        <v>2824.2</v>
      </c>
    </row>
    <row r="480" spans="1:7">
      <c r="A480" s="54" t="s">
        <v>24</v>
      </c>
      <c r="B480" s="54" t="s">
        <v>70</v>
      </c>
      <c r="C480" s="54" t="s">
        <v>72</v>
      </c>
      <c r="D480" s="54" t="s">
        <v>72</v>
      </c>
      <c r="E480" s="55" t="s">
        <v>71</v>
      </c>
      <c r="F480" s="28">
        <f>F481</f>
        <v>2824.2</v>
      </c>
      <c r="G480" s="28">
        <f t="shared" si="168"/>
        <v>2824.2</v>
      </c>
    </row>
    <row r="481" spans="1:7" ht="47.25">
      <c r="A481" s="54" t="s">
        <v>24</v>
      </c>
      <c r="B481" s="54" t="s">
        <v>70</v>
      </c>
      <c r="C481" s="56">
        <v>1200000000</v>
      </c>
      <c r="D481" s="54"/>
      <c r="E481" s="55" t="s">
        <v>231</v>
      </c>
      <c r="F481" s="28">
        <f>F482</f>
        <v>2824.2</v>
      </c>
      <c r="G481" s="28">
        <f t="shared" si="168"/>
        <v>2824.2</v>
      </c>
    </row>
    <row r="482" spans="1:7" ht="31.5">
      <c r="A482" s="54" t="s">
        <v>24</v>
      </c>
      <c r="B482" s="54" t="s">
        <v>70</v>
      </c>
      <c r="C482" s="56">
        <v>1240000000</v>
      </c>
      <c r="D482" s="54"/>
      <c r="E482" s="55" t="s">
        <v>162</v>
      </c>
      <c r="F482" s="28">
        <f>F483</f>
        <v>2824.2</v>
      </c>
      <c r="G482" s="28">
        <f t="shared" si="168"/>
        <v>2824.2</v>
      </c>
    </row>
    <row r="483" spans="1:7">
      <c r="A483" s="54" t="s">
        <v>24</v>
      </c>
      <c r="B483" s="54" t="s">
        <v>70</v>
      </c>
      <c r="C483" s="54">
        <v>1240300000</v>
      </c>
      <c r="D483" s="54"/>
      <c r="E483" s="55" t="s">
        <v>256</v>
      </c>
      <c r="F483" s="28">
        <f>F487+F490+F493+F484</f>
        <v>2824.2</v>
      </c>
      <c r="G483" s="28">
        <f t="shared" ref="G483" si="169">G487+G490+G493+G484</f>
        <v>2824.2</v>
      </c>
    </row>
    <row r="484" spans="1:7" ht="47.25">
      <c r="A484" s="81" t="s">
        <v>24</v>
      </c>
      <c r="B484" s="81" t="s">
        <v>70</v>
      </c>
      <c r="C484" s="81">
        <v>1240310320</v>
      </c>
      <c r="D484" s="81"/>
      <c r="E484" s="82" t="s">
        <v>342</v>
      </c>
      <c r="F484" s="28">
        <f>F485</f>
        <v>455.6</v>
      </c>
      <c r="G484" s="28">
        <f t="shared" ref="G484:G485" si="170">G485</f>
        <v>455.6</v>
      </c>
    </row>
    <row r="485" spans="1:7">
      <c r="A485" s="81" t="s">
        <v>24</v>
      </c>
      <c r="B485" s="81" t="s">
        <v>70</v>
      </c>
      <c r="C485" s="81">
        <v>1240310320</v>
      </c>
      <c r="D485" s="81" t="s">
        <v>76</v>
      </c>
      <c r="E485" s="82" t="s">
        <v>77</v>
      </c>
      <c r="F485" s="28">
        <f>F486</f>
        <v>455.6</v>
      </c>
      <c r="G485" s="28">
        <f t="shared" si="170"/>
        <v>455.6</v>
      </c>
    </row>
    <row r="486" spans="1:7" ht="47.25">
      <c r="A486" s="81" t="s">
        <v>24</v>
      </c>
      <c r="B486" s="81" t="s">
        <v>70</v>
      </c>
      <c r="C486" s="81">
        <v>1240310320</v>
      </c>
      <c r="D486" s="81" t="s">
        <v>187</v>
      </c>
      <c r="E486" s="82" t="s">
        <v>188</v>
      </c>
      <c r="F486" s="28">
        <v>455.6</v>
      </c>
      <c r="G486" s="28">
        <v>455.6</v>
      </c>
    </row>
    <row r="487" spans="1:7" ht="31.5">
      <c r="A487" s="54" t="s">
        <v>24</v>
      </c>
      <c r="B487" s="54" t="s">
        <v>70</v>
      </c>
      <c r="C487" s="54">
        <v>1240320360</v>
      </c>
      <c r="D487" s="54"/>
      <c r="E487" s="55" t="s">
        <v>183</v>
      </c>
      <c r="F487" s="28">
        <f>F488</f>
        <v>942.5</v>
      </c>
      <c r="G487" s="28">
        <f t="shared" ref="G487:G488" si="171">G488</f>
        <v>942.5</v>
      </c>
    </row>
    <row r="488" spans="1:7">
      <c r="A488" s="54" t="s">
        <v>24</v>
      </c>
      <c r="B488" s="54" t="s">
        <v>70</v>
      </c>
      <c r="C488" s="54">
        <v>1240320360</v>
      </c>
      <c r="D488" s="54" t="s">
        <v>76</v>
      </c>
      <c r="E488" s="55" t="s">
        <v>77</v>
      </c>
      <c r="F488" s="28">
        <f>F489</f>
        <v>942.5</v>
      </c>
      <c r="G488" s="28">
        <f t="shared" si="171"/>
        <v>942.5</v>
      </c>
    </row>
    <row r="489" spans="1:7" ht="47.25">
      <c r="A489" s="54" t="s">
        <v>24</v>
      </c>
      <c r="B489" s="54" t="s">
        <v>70</v>
      </c>
      <c r="C489" s="54">
        <v>1240320360</v>
      </c>
      <c r="D489" s="54" t="s">
        <v>187</v>
      </c>
      <c r="E489" s="55" t="s">
        <v>188</v>
      </c>
      <c r="F489" s="28">
        <v>942.5</v>
      </c>
      <c r="G489" s="28">
        <v>942.5</v>
      </c>
    </row>
    <row r="490" spans="1:7" ht="47.25">
      <c r="A490" s="54" t="s">
        <v>24</v>
      </c>
      <c r="B490" s="54" t="s">
        <v>70</v>
      </c>
      <c r="C490" s="54">
        <v>1240320370</v>
      </c>
      <c r="D490" s="54"/>
      <c r="E490" s="55" t="s">
        <v>184</v>
      </c>
      <c r="F490" s="28">
        <f>F491</f>
        <v>639.6</v>
      </c>
      <c r="G490" s="28">
        <f t="shared" ref="G490:G491" si="172">G491</f>
        <v>639.6</v>
      </c>
    </row>
    <row r="491" spans="1:7">
      <c r="A491" s="54" t="s">
        <v>24</v>
      </c>
      <c r="B491" s="54" t="s">
        <v>70</v>
      </c>
      <c r="C491" s="54">
        <v>1240320370</v>
      </c>
      <c r="D491" s="54" t="s">
        <v>76</v>
      </c>
      <c r="E491" s="55" t="s">
        <v>77</v>
      </c>
      <c r="F491" s="28">
        <f>F492</f>
        <v>639.6</v>
      </c>
      <c r="G491" s="28">
        <f t="shared" si="172"/>
        <v>639.6</v>
      </c>
    </row>
    <row r="492" spans="1:7" ht="47.25">
      <c r="A492" s="54" t="s">
        <v>24</v>
      </c>
      <c r="B492" s="54" t="s">
        <v>70</v>
      </c>
      <c r="C492" s="54">
        <v>1240320370</v>
      </c>
      <c r="D492" s="54" t="s">
        <v>187</v>
      </c>
      <c r="E492" s="55" t="s">
        <v>188</v>
      </c>
      <c r="F492" s="28">
        <f>489.6+150</f>
        <v>639.6</v>
      </c>
      <c r="G492" s="28">
        <v>639.6</v>
      </c>
    </row>
    <row r="493" spans="1:7" ht="47.25">
      <c r="A493" s="54" t="s">
        <v>24</v>
      </c>
      <c r="B493" s="54" t="s">
        <v>70</v>
      </c>
      <c r="C493" s="54" t="s">
        <v>186</v>
      </c>
      <c r="D493" s="54"/>
      <c r="E493" s="55" t="s">
        <v>185</v>
      </c>
      <c r="F493" s="28">
        <f>F494</f>
        <v>786.5</v>
      </c>
      <c r="G493" s="28">
        <f t="shared" ref="G493:G494" si="173">G494</f>
        <v>786.5</v>
      </c>
    </row>
    <row r="494" spans="1:7">
      <c r="A494" s="54" t="s">
        <v>24</v>
      </c>
      <c r="B494" s="54" t="s">
        <v>70</v>
      </c>
      <c r="C494" s="54" t="s">
        <v>186</v>
      </c>
      <c r="D494" s="54" t="s">
        <v>76</v>
      </c>
      <c r="E494" s="55" t="s">
        <v>77</v>
      </c>
      <c r="F494" s="28">
        <f>F495</f>
        <v>786.5</v>
      </c>
      <c r="G494" s="28">
        <f t="shared" si="173"/>
        <v>786.5</v>
      </c>
    </row>
    <row r="495" spans="1:7" ht="47.25">
      <c r="A495" s="54" t="s">
        <v>24</v>
      </c>
      <c r="B495" s="54" t="s">
        <v>70</v>
      </c>
      <c r="C495" s="54" t="s">
        <v>186</v>
      </c>
      <c r="D495" s="54" t="s">
        <v>187</v>
      </c>
      <c r="E495" s="55" t="s">
        <v>188</v>
      </c>
      <c r="F495" s="28">
        <f>636.5+150</f>
        <v>786.5</v>
      </c>
      <c r="G495" s="28">
        <v>786.5</v>
      </c>
    </row>
    <row r="496" spans="1:7" ht="31.5">
      <c r="A496" s="19" t="s">
        <v>40</v>
      </c>
      <c r="B496" s="30" t="s">
        <v>72</v>
      </c>
      <c r="C496" s="30" t="s">
        <v>72</v>
      </c>
      <c r="D496" s="30" t="s">
        <v>72</v>
      </c>
      <c r="E496" s="57" t="s">
        <v>294</v>
      </c>
      <c r="F496" s="33">
        <f>F497+F543+F535</f>
        <v>8079.7</v>
      </c>
      <c r="G496" s="33">
        <f>G497+G543+G535</f>
        <v>7879.6999999999989</v>
      </c>
    </row>
    <row r="497" spans="1:7">
      <c r="A497" s="54" t="s">
        <v>40</v>
      </c>
      <c r="B497" s="54" t="s">
        <v>60</v>
      </c>
      <c r="C497" s="54" t="s">
        <v>72</v>
      </c>
      <c r="D497" s="54" t="s">
        <v>72</v>
      </c>
      <c r="E497" s="16" t="s">
        <v>25</v>
      </c>
      <c r="F497" s="28">
        <f>F498+F517+F523</f>
        <v>7939.9</v>
      </c>
      <c r="G497" s="28">
        <f>G498+G517+G523</f>
        <v>7739.8999999999987</v>
      </c>
    </row>
    <row r="498" spans="1:7" ht="30" customHeight="1">
      <c r="A498" s="54" t="s">
        <v>40</v>
      </c>
      <c r="B498" s="54" t="s">
        <v>51</v>
      </c>
      <c r="C498" s="54" t="s">
        <v>72</v>
      </c>
      <c r="D498" s="54" t="s">
        <v>72</v>
      </c>
      <c r="E498" s="55" t="s">
        <v>11</v>
      </c>
      <c r="F498" s="28">
        <f>F499</f>
        <v>7379</v>
      </c>
      <c r="G498" s="28">
        <f t="shared" ref="G498:G500" si="174">G499</f>
        <v>7378.9999999999991</v>
      </c>
    </row>
    <row r="499" spans="1:7">
      <c r="A499" s="54" t="s">
        <v>40</v>
      </c>
      <c r="B499" s="54" t="s">
        <v>51</v>
      </c>
      <c r="C499" s="54">
        <v>9900000000</v>
      </c>
      <c r="D499" s="54"/>
      <c r="E499" s="55" t="s">
        <v>124</v>
      </c>
      <c r="F499" s="28">
        <f>F500</f>
        <v>7379</v>
      </c>
      <c r="G499" s="28">
        <f t="shared" si="174"/>
        <v>7378.9999999999991</v>
      </c>
    </row>
    <row r="500" spans="1:7" ht="31.5">
      <c r="A500" s="54" t="s">
        <v>40</v>
      </c>
      <c r="B500" s="54" t="s">
        <v>51</v>
      </c>
      <c r="C500" s="54">
        <v>9990000000</v>
      </c>
      <c r="D500" s="54"/>
      <c r="E500" s="55" t="s">
        <v>189</v>
      </c>
      <c r="F500" s="28">
        <f>F501</f>
        <v>7379</v>
      </c>
      <c r="G500" s="28">
        <f t="shared" si="174"/>
        <v>7378.9999999999991</v>
      </c>
    </row>
    <row r="501" spans="1:7" ht="31.5">
      <c r="A501" s="54" t="s">
        <v>40</v>
      </c>
      <c r="B501" s="54" t="s">
        <v>51</v>
      </c>
      <c r="C501" s="54">
        <v>9990200000</v>
      </c>
      <c r="D501" s="30"/>
      <c r="E501" s="69" t="s">
        <v>138</v>
      </c>
      <c r="F501" s="28">
        <f>F508+F502+F505</f>
        <v>7379</v>
      </c>
      <c r="G501" s="28">
        <f t="shared" ref="G501" si="175">G508+G502+G505</f>
        <v>7378.9999999999991</v>
      </c>
    </row>
    <row r="502" spans="1:7" ht="48.75" customHeight="1">
      <c r="A502" s="199" t="s">
        <v>40</v>
      </c>
      <c r="B502" s="199" t="s">
        <v>51</v>
      </c>
      <c r="C502" s="199">
        <v>9990210200</v>
      </c>
      <c r="D502" s="30"/>
      <c r="E502" s="200" t="s">
        <v>349</v>
      </c>
      <c r="F502" s="28">
        <f>F503</f>
        <v>36.700000000000003</v>
      </c>
      <c r="G502" s="28">
        <f t="shared" ref="G502:G503" si="176">G503</f>
        <v>36.700000000000003</v>
      </c>
    </row>
    <row r="503" spans="1:7" ht="63">
      <c r="A503" s="199" t="s">
        <v>40</v>
      </c>
      <c r="B503" s="199" t="s">
        <v>51</v>
      </c>
      <c r="C503" s="199">
        <v>9990210200</v>
      </c>
      <c r="D503" s="199" t="s">
        <v>74</v>
      </c>
      <c r="E503" s="200" t="s">
        <v>2</v>
      </c>
      <c r="F503" s="28">
        <f>F504</f>
        <v>36.700000000000003</v>
      </c>
      <c r="G503" s="28">
        <f t="shared" si="176"/>
        <v>36.700000000000003</v>
      </c>
    </row>
    <row r="504" spans="1:7" ht="31.5">
      <c r="A504" s="199" t="s">
        <v>40</v>
      </c>
      <c r="B504" s="199" t="s">
        <v>51</v>
      </c>
      <c r="C504" s="199">
        <v>9990210200</v>
      </c>
      <c r="D504" s="199">
        <v>120</v>
      </c>
      <c r="E504" s="200" t="s">
        <v>443</v>
      </c>
      <c r="F504" s="28">
        <v>36.700000000000003</v>
      </c>
      <c r="G504" s="28">
        <v>36.700000000000003</v>
      </c>
    </row>
    <row r="505" spans="1:7" ht="47.25" customHeight="1">
      <c r="A505" s="199" t="s">
        <v>40</v>
      </c>
      <c r="B505" s="199" t="s">
        <v>51</v>
      </c>
      <c r="C505" s="199" t="s">
        <v>470</v>
      </c>
      <c r="D505" s="199"/>
      <c r="E505" s="200" t="s">
        <v>354</v>
      </c>
      <c r="F505" s="28">
        <f>F506</f>
        <v>3.7</v>
      </c>
      <c r="G505" s="28">
        <f t="shared" ref="G505:G506" si="177">G506</f>
        <v>3.7</v>
      </c>
    </row>
    <row r="506" spans="1:7" ht="63">
      <c r="A506" s="199" t="s">
        <v>40</v>
      </c>
      <c r="B506" s="199" t="s">
        <v>51</v>
      </c>
      <c r="C506" s="199" t="s">
        <v>470</v>
      </c>
      <c r="D506" s="199" t="s">
        <v>74</v>
      </c>
      <c r="E506" s="200" t="s">
        <v>2</v>
      </c>
      <c r="F506" s="28">
        <f>F507</f>
        <v>3.7</v>
      </c>
      <c r="G506" s="28">
        <f t="shared" si="177"/>
        <v>3.7</v>
      </c>
    </row>
    <row r="507" spans="1:7" ht="31.5">
      <c r="A507" s="199" t="s">
        <v>40</v>
      </c>
      <c r="B507" s="199" t="s">
        <v>51</v>
      </c>
      <c r="C507" s="199" t="s">
        <v>470</v>
      </c>
      <c r="D507" s="199">
        <v>120</v>
      </c>
      <c r="E507" s="200" t="s">
        <v>443</v>
      </c>
      <c r="F507" s="28">
        <v>3.7</v>
      </c>
      <c r="G507" s="28">
        <v>3.7</v>
      </c>
    </row>
    <row r="508" spans="1:7" ht="47.25">
      <c r="A508" s="54" t="s">
        <v>40</v>
      </c>
      <c r="B508" s="54" t="s">
        <v>51</v>
      </c>
      <c r="C508" s="54">
        <v>9990225000</v>
      </c>
      <c r="D508" s="54"/>
      <c r="E508" s="69" t="s">
        <v>139</v>
      </c>
      <c r="F508" s="28">
        <f>F509+F511+F515+F513</f>
        <v>7338.6</v>
      </c>
      <c r="G508" s="28">
        <f t="shared" ref="G508" si="178">G509+G511+G515+G513</f>
        <v>7338.5999999999995</v>
      </c>
    </row>
    <row r="509" spans="1:7" ht="63">
      <c r="A509" s="54" t="s">
        <v>40</v>
      </c>
      <c r="B509" s="54" t="s">
        <v>51</v>
      </c>
      <c r="C509" s="54">
        <v>9990225000</v>
      </c>
      <c r="D509" s="54" t="s">
        <v>74</v>
      </c>
      <c r="E509" s="55" t="s">
        <v>2</v>
      </c>
      <c r="F509" s="28">
        <f>F510</f>
        <v>6930.4000000000005</v>
      </c>
      <c r="G509" s="28">
        <f t="shared" ref="G509" si="179">G510</f>
        <v>6930.4</v>
      </c>
    </row>
    <row r="510" spans="1:7" ht="31.15" customHeight="1">
      <c r="A510" s="54" t="s">
        <v>40</v>
      </c>
      <c r="B510" s="54" t="s">
        <v>51</v>
      </c>
      <c r="C510" s="54">
        <v>9990225000</v>
      </c>
      <c r="D510" s="54">
        <v>120</v>
      </c>
      <c r="E510" s="55" t="s">
        <v>443</v>
      </c>
      <c r="F510" s="28">
        <f>6565.2-94.7+222.1-41+282.5-3.7</f>
        <v>6930.4000000000005</v>
      </c>
      <c r="G510" s="28">
        <v>6930.4</v>
      </c>
    </row>
    <row r="511" spans="1:7" ht="31.5">
      <c r="A511" s="54" t="s">
        <v>40</v>
      </c>
      <c r="B511" s="54" t="s">
        <v>51</v>
      </c>
      <c r="C511" s="54">
        <v>9990225000</v>
      </c>
      <c r="D511" s="54" t="s">
        <v>75</v>
      </c>
      <c r="E511" s="55" t="s">
        <v>107</v>
      </c>
      <c r="F511" s="28">
        <f>F512</f>
        <v>299.2</v>
      </c>
      <c r="G511" s="28">
        <f t="shared" ref="G511" si="180">G512</f>
        <v>299.2</v>
      </c>
    </row>
    <row r="512" spans="1:7" ht="33.6" customHeight="1">
      <c r="A512" s="54" t="s">
        <v>40</v>
      </c>
      <c r="B512" s="54" t="s">
        <v>51</v>
      </c>
      <c r="C512" s="54">
        <v>9990225000</v>
      </c>
      <c r="D512" s="54">
        <v>240</v>
      </c>
      <c r="E512" s="178" t="s">
        <v>441</v>
      </c>
      <c r="F512" s="28">
        <f>303.2-4</f>
        <v>299.2</v>
      </c>
      <c r="G512" s="28">
        <v>299.2</v>
      </c>
    </row>
    <row r="513" spans="1:7" ht="18" customHeight="1">
      <c r="A513" s="191" t="s">
        <v>40</v>
      </c>
      <c r="B513" s="191" t="s">
        <v>51</v>
      </c>
      <c r="C513" s="191">
        <v>9990225000</v>
      </c>
      <c r="D513" s="191">
        <v>300</v>
      </c>
      <c r="E513" s="192" t="s">
        <v>80</v>
      </c>
      <c r="F513" s="28">
        <f>F514</f>
        <v>45</v>
      </c>
      <c r="G513" s="28">
        <f t="shared" ref="G513" si="181">G514</f>
        <v>45</v>
      </c>
    </row>
    <row r="514" spans="1:7" ht="33.6" customHeight="1">
      <c r="A514" s="191" t="s">
        <v>40</v>
      </c>
      <c r="B514" s="191" t="s">
        <v>51</v>
      </c>
      <c r="C514" s="191">
        <v>9990225000</v>
      </c>
      <c r="D514" s="191">
        <v>320</v>
      </c>
      <c r="E514" s="192" t="s">
        <v>121</v>
      </c>
      <c r="F514" s="28">
        <v>45</v>
      </c>
      <c r="G514" s="28">
        <v>45</v>
      </c>
    </row>
    <row r="515" spans="1:7">
      <c r="A515" s="54" t="s">
        <v>40</v>
      </c>
      <c r="B515" s="54" t="s">
        <v>51</v>
      </c>
      <c r="C515" s="54">
        <v>9990225000</v>
      </c>
      <c r="D515" s="54" t="s">
        <v>76</v>
      </c>
      <c r="E515" s="55" t="s">
        <v>77</v>
      </c>
      <c r="F515" s="28">
        <f>F516</f>
        <v>64</v>
      </c>
      <c r="G515" s="28">
        <f t="shared" ref="G515" si="182">G516</f>
        <v>64</v>
      </c>
    </row>
    <row r="516" spans="1:7">
      <c r="A516" s="54" t="s">
        <v>40</v>
      </c>
      <c r="B516" s="54" t="s">
        <v>51</v>
      </c>
      <c r="C516" s="54">
        <v>9990225000</v>
      </c>
      <c r="D516" s="54">
        <v>850</v>
      </c>
      <c r="E516" s="55" t="s">
        <v>119</v>
      </c>
      <c r="F516" s="28">
        <f>40+24</f>
        <v>64</v>
      </c>
      <c r="G516" s="28">
        <v>64</v>
      </c>
    </row>
    <row r="517" spans="1:7">
      <c r="A517" s="54" t="s">
        <v>40</v>
      </c>
      <c r="B517" s="54" t="s">
        <v>52</v>
      </c>
      <c r="C517" s="54"/>
      <c r="D517" s="54"/>
      <c r="E517" s="55" t="s">
        <v>12</v>
      </c>
      <c r="F517" s="28">
        <f>F518</f>
        <v>200</v>
      </c>
      <c r="G517" s="28">
        <f t="shared" ref="G517:G521" si="183">G518</f>
        <v>0</v>
      </c>
    </row>
    <row r="518" spans="1:7">
      <c r="A518" s="54" t="s">
        <v>40</v>
      </c>
      <c r="B518" s="54" t="s">
        <v>52</v>
      </c>
      <c r="C518" s="54">
        <v>9900000000</v>
      </c>
      <c r="D518" s="54"/>
      <c r="E518" s="55" t="s">
        <v>124</v>
      </c>
      <c r="F518" s="28">
        <f>F519</f>
        <v>200</v>
      </c>
      <c r="G518" s="28">
        <f t="shared" si="183"/>
        <v>0</v>
      </c>
    </row>
    <row r="519" spans="1:7">
      <c r="A519" s="54" t="s">
        <v>40</v>
      </c>
      <c r="B519" s="54" t="s">
        <v>52</v>
      </c>
      <c r="C519" s="54">
        <v>9910000000</v>
      </c>
      <c r="D519" s="54"/>
      <c r="E519" s="55" t="s">
        <v>12</v>
      </c>
      <c r="F519" s="28">
        <f>F520</f>
        <v>200</v>
      </c>
      <c r="G519" s="28">
        <f t="shared" si="183"/>
        <v>0</v>
      </c>
    </row>
    <row r="520" spans="1:7" ht="31.5">
      <c r="A520" s="54" t="s">
        <v>40</v>
      </c>
      <c r="B520" s="54" t="s">
        <v>52</v>
      </c>
      <c r="C520" s="54">
        <v>9910020000</v>
      </c>
      <c r="D520" s="54"/>
      <c r="E520" s="55" t="s">
        <v>207</v>
      </c>
      <c r="F520" s="28">
        <f>F521</f>
        <v>200</v>
      </c>
      <c r="G520" s="28">
        <f t="shared" si="183"/>
        <v>0</v>
      </c>
    </row>
    <row r="521" spans="1:7">
      <c r="A521" s="54" t="s">
        <v>40</v>
      </c>
      <c r="B521" s="54" t="s">
        <v>52</v>
      </c>
      <c r="C521" s="54">
        <v>9910020000</v>
      </c>
      <c r="D521" s="56" t="s">
        <v>76</v>
      </c>
      <c r="E521" s="55" t="s">
        <v>77</v>
      </c>
      <c r="F521" s="28">
        <f>F522</f>
        <v>200</v>
      </c>
      <c r="G521" s="28">
        <f t="shared" si="183"/>
        <v>0</v>
      </c>
    </row>
    <row r="522" spans="1:7">
      <c r="A522" s="54" t="s">
        <v>40</v>
      </c>
      <c r="B522" s="54" t="s">
        <v>52</v>
      </c>
      <c r="C522" s="54">
        <v>9910020000</v>
      </c>
      <c r="D522" s="3" t="s">
        <v>208</v>
      </c>
      <c r="E522" s="22" t="s">
        <v>209</v>
      </c>
      <c r="F522" s="28">
        <f>1000-800</f>
        <v>200</v>
      </c>
      <c r="G522" s="28">
        <v>0</v>
      </c>
    </row>
    <row r="523" spans="1:7">
      <c r="A523" s="54" t="s">
        <v>40</v>
      </c>
      <c r="B523" s="54" t="s">
        <v>66</v>
      </c>
      <c r="C523" s="54"/>
      <c r="D523" s="54"/>
      <c r="E523" s="55" t="s">
        <v>28</v>
      </c>
      <c r="F523" s="28">
        <f>F524+F530</f>
        <v>360.9</v>
      </c>
      <c r="G523" s="28">
        <f>G524+G530</f>
        <v>360.9</v>
      </c>
    </row>
    <row r="524" spans="1:7" ht="47.25">
      <c r="A524" s="54" t="s">
        <v>40</v>
      </c>
      <c r="B524" s="56" t="s">
        <v>66</v>
      </c>
      <c r="C524" s="56">
        <v>1600000000</v>
      </c>
      <c r="D524" s="56"/>
      <c r="E524" s="87" t="s">
        <v>133</v>
      </c>
      <c r="F524" s="28">
        <f>F525</f>
        <v>357.4</v>
      </c>
      <c r="G524" s="28">
        <f t="shared" ref="G524" si="184">G525</f>
        <v>357.4</v>
      </c>
    </row>
    <row r="525" spans="1:7" ht="47.25">
      <c r="A525" s="54" t="s">
        <v>40</v>
      </c>
      <c r="B525" s="54" t="s">
        <v>66</v>
      </c>
      <c r="C525" s="56">
        <v>1630000000</v>
      </c>
      <c r="D525" s="54"/>
      <c r="E525" s="55" t="s">
        <v>274</v>
      </c>
      <c r="F525" s="28">
        <f>F526</f>
        <v>357.4</v>
      </c>
      <c r="G525" s="28">
        <f>G526</f>
        <v>357.4</v>
      </c>
    </row>
    <row r="526" spans="1:7" ht="47.25">
      <c r="A526" s="54" t="s">
        <v>40</v>
      </c>
      <c r="B526" s="56" t="s">
        <v>66</v>
      </c>
      <c r="C526" s="54">
        <v>1630100000</v>
      </c>
      <c r="D526" s="54"/>
      <c r="E526" s="55" t="s">
        <v>275</v>
      </c>
      <c r="F526" s="28">
        <f>F527</f>
        <v>357.4</v>
      </c>
      <c r="G526" s="28">
        <f t="shared" ref="G526:G528" si="185">G527</f>
        <v>357.4</v>
      </c>
    </row>
    <row r="527" spans="1:7" ht="47.25">
      <c r="A527" s="54" t="s">
        <v>40</v>
      </c>
      <c r="B527" s="54" t="s">
        <v>66</v>
      </c>
      <c r="C527" s="54">
        <v>1630120180</v>
      </c>
      <c r="D527" s="54"/>
      <c r="E527" s="55" t="s">
        <v>276</v>
      </c>
      <c r="F527" s="28">
        <f>F528</f>
        <v>357.4</v>
      </c>
      <c r="G527" s="28">
        <f t="shared" si="185"/>
        <v>357.4</v>
      </c>
    </row>
    <row r="528" spans="1:7" ht="31.5">
      <c r="A528" s="54" t="s">
        <v>40</v>
      </c>
      <c r="B528" s="56" t="s">
        <v>66</v>
      </c>
      <c r="C528" s="54">
        <v>1630120180</v>
      </c>
      <c r="D528" s="54" t="s">
        <v>75</v>
      </c>
      <c r="E528" s="55" t="s">
        <v>107</v>
      </c>
      <c r="F528" s="28">
        <f>F529</f>
        <v>357.4</v>
      </c>
      <c r="G528" s="28">
        <f t="shared" si="185"/>
        <v>357.4</v>
      </c>
    </row>
    <row r="529" spans="1:7" ht="33" customHeight="1">
      <c r="A529" s="54" t="s">
        <v>40</v>
      </c>
      <c r="B529" s="56" t="s">
        <v>66</v>
      </c>
      <c r="C529" s="54">
        <v>1630120180</v>
      </c>
      <c r="D529" s="54">
        <v>240</v>
      </c>
      <c r="E529" s="178" t="s">
        <v>441</v>
      </c>
      <c r="F529" s="28">
        <f>1133.8+26-325.9-496.3+19.8</f>
        <v>357.4</v>
      </c>
      <c r="G529" s="28">
        <v>357.4</v>
      </c>
    </row>
    <row r="530" spans="1:7" ht="17.25" customHeight="1">
      <c r="A530" s="76" t="s">
        <v>40</v>
      </c>
      <c r="B530" s="76" t="s">
        <v>66</v>
      </c>
      <c r="C530" s="76">
        <v>9900000000</v>
      </c>
      <c r="D530" s="76"/>
      <c r="E530" s="77" t="s">
        <v>124</v>
      </c>
      <c r="F530" s="28">
        <f>F531</f>
        <v>3.5</v>
      </c>
      <c r="G530" s="28">
        <f t="shared" ref="G530:G533" si="186">G531</f>
        <v>3.5</v>
      </c>
    </row>
    <row r="531" spans="1:7" ht="34.15" customHeight="1">
      <c r="A531" s="76" t="s">
        <v>40</v>
      </c>
      <c r="B531" s="78" t="s">
        <v>66</v>
      </c>
      <c r="C531" s="76">
        <v>9930000000</v>
      </c>
      <c r="D531" s="76"/>
      <c r="E531" s="77" t="s">
        <v>202</v>
      </c>
      <c r="F531" s="28">
        <f>F532</f>
        <v>3.5</v>
      </c>
      <c r="G531" s="28">
        <f t="shared" si="186"/>
        <v>3.5</v>
      </c>
    </row>
    <row r="532" spans="1:7" ht="47.25">
      <c r="A532" s="76" t="s">
        <v>40</v>
      </c>
      <c r="B532" s="78" t="s">
        <v>66</v>
      </c>
      <c r="C532" s="76">
        <v>9930020510</v>
      </c>
      <c r="D532" s="76"/>
      <c r="E532" s="77" t="s">
        <v>341</v>
      </c>
      <c r="F532" s="28">
        <f>F533</f>
        <v>3.5</v>
      </c>
      <c r="G532" s="28">
        <f t="shared" si="186"/>
        <v>3.5</v>
      </c>
    </row>
    <row r="533" spans="1:7" ht="34.15" customHeight="1">
      <c r="A533" s="76" t="s">
        <v>40</v>
      </c>
      <c r="B533" s="76" t="s">
        <v>66</v>
      </c>
      <c r="C533" s="76">
        <v>9930020510</v>
      </c>
      <c r="D533" s="76" t="s">
        <v>75</v>
      </c>
      <c r="E533" s="77" t="s">
        <v>107</v>
      </c>
      <c r="F533" s="28">
        <f>F534</f>
        <v>3.5</v>
      </c>
      <c r="G533" s="28">
        <f t="shared" si="186"/>
        <v>3.5</v>
      </c>
    </row>
    <row r="534" spans="1:7" ht="34.15" customHeight="1">
      <c r="A534" s="76" t="s">
        <v>40</v>
      </c>
      <c r="B534" s="78" t="s">
        <v>66</v>
      </c>
      <c r="C534" s="76">
        <v>9930020510</v>
      </c>
      <c r="D534" s="76">
        <v>240</v>
      </c>
      <c r="E534" s="178" t="s">
        <v>441</v>
      </c>
      <c r="F534" s="28">
        <f>40-36.5</f>
        <v>3.5</v>
      </c>
      <c r="G534" s="28">
        <v>3.5</v>
      </c>
    </row>
    <row r="535" spans="1:7">
      <c r="A535" s="54" t="s">
        <v>40</v>
      </c>
      <c r="B535" s="54" t="s">
        <v>42</v>
      </c>
      <c r="C535" s="54" t="s">
        <v>72</v>
      </c>
      <c r="D535" s="54" t="s">
        <v>72</v>
      </c>
      <c r="E535" s="55" t="s">
        <v>34</v>
      </c>
      <c r="F535" s="28">
        <f t="shared" ref="F535:G541" si="187">F536</f>
        <v>59.5</v>
      </c>
      <c r="G535" s="28">
        <f t="shared" si="187"/>
        <v>59.5</v>
      </c>
    </row>
    <row r="536" spans="1:7" ht="30" customHeight="1">
      <c r="A536" s="54" t="s">
        <v>40</v>
      </c>
      <c r="B536" s="29" t="s">
        <v>265</v>
      </c>
      <c r="C536" s="54"/>
      <c r="D536" s="54"/>
      <c r="E536" s="35" t="s">
        <v>442</v>
      </c>
      <c r="F536" s="28">
        <f t="shared" si="187"/>
        <v>59.5</v>
      </c>
      <c r="G536" s="28">
        <f t="shared" si="187"/>
        <v>59.5</v>
      </c>
    </row>
    <row r="537" spans="1:7" ht="47.25">
      <c r="A537" s="54" t="s">
        <v>40</v>
      </c>
      <c r="B537" s="29" t="s">
        <v>265</v>
      </c>
      <c r="C537" s="56">
        <v>1600000000</v>
      </c>
      <c r="D537" s="56"/>
      <c r="E537" s="55" t="s">
        <v>133</v>
      </c>
      <c r="F537" s="28">
        <f t="shared" si="187"/>
        <v>59.5</v>
      </c>
      <c r="G537" s="28">
        <f t="shared" si="187"/>
        <v>59.5</v>
      </c>
    </row>
    <row r="538" spans="1:7" ht="47.25">
      <c r="A538" s="54" t="s">
        <v>40</v>
      </c>
      <c r="B538" s="29" t="s">
        <v>265</v>
      </c>
      <c r="C538" s="56">
        <v>1640000000</v>
      </c>
      <c r="D538" s="1"/>
      <c r="E538" s="22" t="s">
        <v>267</v>
      </c>
      <c r="F538" s="28">
        <f t="shared" si="187"/>
        <v>59.5</v>
      </c>
      <c r="G538" s="28">
        <f t="shared" si="187"/>
        <v>59.5</v>
      </c>
    </row>
    <row r="539" spans="1:7" ht="31.5">
      <c r="A539" s="54" t="s">
        <v>40</v>
      </c>
      <c r="B539" s="29" t="s">
        <v>265</v>
      </c>
      <c r="C539" s="56">
        <v>1640100000</v>
      </c>
      <c r="D539" s="54"/>
      <c r="E539" s="55" t="s">
        <v>269</v>
      </c>
      <c r="F539" s="28">
        <f t="shared" si="187"/>
        <v>59.5</v>
      </c>
      <c r="G539" s="28">
        <f t="shared" si="187"/>
        <v>59.5</v>
      </c>
    </row>
    <row r="540" spans="1:7">
      <c r="A540" s="54" t="s">
        <v>40</v>
      </c>
      <c r="B540" s="29" t="s">
        <v>265</v>
      </c>
      <c r="C540" s="56">
        <v>1640120510</v>
      </c>
      <c r="D540" s="54"/>
      <c r="E540" s="55" t="s">
        <v>271</v>
      </c>
      <c r="F540" s="28">
        <f t="shared" si="187"/>
        <v>59.5</v>
      </c>
      <c r="G540" s="28">
        <f t="shared" si="187"/>
        <v>59.5</v>
      </c>
    </row>
    <row r="541" spans="1:7" ht="31.5">
      <c r="A541" s="54" t="s">
        <v>40</v>
      </c>
      <c r="B541" s="29" t="s">
        <v>265</v>
      </c>
      <c r="C541" s="56">
        <v>1640120510</v>
      </c>
      <c r="D541" s="56" t="s">
        <v>75</v>
      </c>
      <c r="E541" s="55" t="s">
        <v>107</v>
      </c>
      <c r="F541" s="28">
        <f t="shared" si="187"/>
        <v>59.5</v>
      </c>
      <c r="G541" s="28">
        <f t="shared" si="187"/>
        <v>59.5</v>
      </c>
    </row>
    <row r="542" spans="1:7" ht="33.6" customHeight="1">
      <c r="A542" s="54" t="s">
        <v>40</v>
      </c>
      <c r="B542" s="29" t="s">
        <v>265</v>
      </c>
      <c r="C542" s="56">
        <v>1640120510</v>
      </c>
      <c r="D542" s="54">
        <v>240</v>
      </c>
      <c r="E542" s="178" t="s">
        <v>441</v>
      </c>
      <c r="F542" s="28">
        <f>88-28.5</f>
        <v>59.5</v>
      </c>
      <c r="G542" s="28">
        <v>59.5</v>
      </c>
    </row>
    <row r="543" spans="1:7">
      <c r="A543" s="54" t="s">
        <v>40</v>
      </c>
      <c r="B543" s="54" t="s">
        <v>103</v>
      </c>
      <c r="C543" s="54" t="s">
        <v>72</v>
      </c>
      <c r="D543" s="54" t="s">
        <v>72</v>
      </c>
      <c r="E543" s="55" t="s">
        <v>114</v>
      </c>
      <c r="F543" s="28">
        <f t="shared" ref="F543:G548" si="188">F544</f>
        <v>80.300000000000011</v>
      </c>
      <c r="G543" s="28">
        <f t="shared" si="188"/>
        <v>80.3</v>
      </c>
    </row>
    <row r="544" spans="1:7" ht="20.25" customHeight="1">
      <c r="A544" s="54" t="s">
        <v>40</v>
      </c>
      <c r="B544" s="54" t="s">
        <v>104</v>
      </c>
      <c r="C544" s="54" t="s">
        <v>72</v>
      </c>
      <c r="D544" s="54" t="s">
        <v>72</v>
      </c>
      <c r="E544" s="55" t="s">
        <v>105</v>
      </c>
      <c r="F544" s="28">
        <f t="shared" si="188"/>
        <v>80.300000000000011</v>
      </c>
      <c r="G544" s="28">
        <f t="shared" si="188"/>
        <v>80.3</v>
      </c>
    </row>
    <row r="545" spans="1:7">
      <c r="A545" s="54" t="s">
        <v>40</v>
      </c>
      <c r="B545" s="54" t="s">
        <v>104</v>
      </c>
      <c r="C545" s="54">
        <v>9900000000</v>
      </c>
      <c r="D545" s="54"/>
      <c r="E545" s="55" t="s">
        <v>124</v>
      </c>
      <c r="F545" s="28">
        <f t="shared" si="188"/>
        <v>80.300000000000011</v>
      </c>
      <c r="G545" s="28">
        <f t="shared" si="188"/>
        <v>80.3</v>
      </c>
    </row>
    <row r="546" spans="1:7" ht="31.5">
      <c r="A546" s="54" t="s">
        <v>40</v>
      </c>
      <c r="B546" s="54" t="s">
        <v>104</v>
      </c>
      <c r="C546" s="54">
        <v>9930000000</v>
      </c>
      <c r="D546" s="54"/>
      <c r="E546" s="55" t="s">
        <v>202</v>
      </c>
      <c r="F546" s="28">
        <f t="shared" si="188"/>
        <v>80.300000000000011</v>
      </c>
      <c r="G546" s="28">
        <f t="shared" si="188"/>
        <v>80.3</v>
      </c>
    </row>
    <row r="547" spans="1:7">
      <c r="A547" s="54" t="s">
        <v>40</v>
      </c>
      <c r="B547" s="54" t="s">
        <v>104</v>
      </c>
      <c r="C547" s="54">
        <v>9930020500</v>
      </c>
      <c r="D547" s="54"/>
      <c r="E547" s="55" t="s">
        <v>111</v>
      </c>
      <c r="F547" s="28">
        <f t="shared" si="188"/>
        <v>80.300000000000011</v>
      </c>
      <c r="G547" s="28">
        <f t="shared" si="188"/>
        <v>80.3</v>
      </c>
    </row>
    <row r="548" spans="1:7">
      <c r="A548" s="54" t="s">
        <v>40</v>
      </c>
      <c r="B548" s="54" t="s">
        <v>104</v>
      </c>
      <c r="C548" s="54">
        <v>9930020500</v>
      </c>
      <c r="D548" s="54" t="s">
        <v>112</v>
      </c>
      <c r="E548" s="55" t="s">
        <v>113</v>
      </c>
      <c r="F548" s="28">
        <f>F549</f>
        <v>80.300000000000011</v>
      </c>
      <c r="G548" s="28">
        <f t="shared" si="188"/>
        <v>80.3</v>
      </c>
    </row>
    <row r="549" spans="1:7">
      <c r="A549" s="54" t="s">
        <v>40</v>
      </c>
      <c r="B549" s="54" t="s">
        <v>104</v>
      </c>
      <c r="C549" s="54">
        <v>9930020500</v>
      </c>
      <c r="D549" s="1" t="s">
        <v>210</v>
      </c>
      <c r="E549" s="22" t="s">
        <v>111</v>
      </c>
      <c r="F549" s="28">
        <f>351-270.7+10-10</f>
        <v>80.300000000000011</v>
      </c>
      <c r="G549" s="28">
        <v>80.3</v>
      </c>
    </row>
    <row r="550" spans="1:7" ht="31.5">
      <c r="A550" s="19" t="s">
        <v>38</v>
      </c>
      <c r="B550" s="30" t="s">
        <v>72</v>
      </c>
      <c r="C550" s="30" t="s">
        <v>72</v>
      </c>
      <c r="D550" s="30" t="s">
        <v>72</v>
      </c>
      <c r="E550" s="57" t="s">
        <v>4</v>
      </c>
      <c r="F550" s="33">
        <f>F551+F583+F591+F599</f>
        <v>28769.1</v>
      </c>
      <c r="G550" s="33">
        <f>G551+G583+G591+G599</f>
        <v>28719.8</v>
      </c>
    </row>
    <row r="551" spans="1:7">
      <c r="A551" s="56" t="s">
        <v>38</v>
      </c>
      <c r="B551" s="56" t="s">
        <v>60</v>
      </c>
      <c r="C551" s="56" t="s">
        <v>72</v>
      </c>
      <c r="D551" s="56" t="s">
        <v>72</v>
      </c>
      <c r="E551" s="16" t="s">
        <v>25</v>
      </c>
      <c r="F551" s="28">
        <f>F552</f>
        <v>9363.6</v>
      </c>
      <c r="G551" s="28">
        <f t="shared" ref="G551" si="189">G552</f>
        <v>9342.9</v>
      </c>
    </row>
    <row r="552" spans="1:7">
      <c r="A552" s="56" t="s">
        <v>38</v>
      </c>
      <c r="B552" s="56" t="s">
        <v>66</v>
      </c>
      <c r="C552" s="56" t="s">
        <v>72</v>
      </c>
      <c r="D552" s="56" t="s">
        <v>72</v>
      </c>
      <c r="E552" s="55" t="s">
        <v>28</v>
      </c>
      <c r="F552" s="28">
        <f>F553+F571</f>
        <v>9363.6</v>
      </c>
      <c r="G552" s="28">
        <f>G553+G571</f>
        <v>9342.9</v>
      </c>
    </row>
    <row r="553" spans="1:7" ht="47.25">
      <c r="A553" s="56" t="s">
        <v>38</v>
      </c>
      <c r="B553" s="56" t="s">
        <v>66</v>
      </c>
      <c r="C553" s="56">
        <v>1600000000</v>
      </c>
      <c r="D553" s="56"/>
      <c r="E553" s="87" t="s">
        <v>133</v>
      </c>
      <c r="F553" s="28">
        <f>F554+F566</f>
        <v>3852.8999999999996</v>
      </c>
      <c r="G553" s="28">
        <f t="shared" ref="G553" si="190">G554+G566</f>
        <v>3842.6</v>
      </c>
    </row>
    <row r="554" spans="1:7" ht="31.5">
      <c r="A554" s="56" t="s">
        <v>38</v>
      </c>
      <c r="B554" s="56" t="s">
        <v>66</v>
      </c>
      <c r="C554" s="56">
        <v>1620000000</v>
      </c>
      <c r="D554" s="56"/>
      <c r="E554" s="55" t="s">
        <v>126</v>
      </c>
      <c r="F554" s="28">
        <f>F555+F562</f>
        <v>3846.8999999999996</v>
      </c>
      <c r="G554" s="28">
        <f t="shared" ref="G554" si="191">G555+G562</f>
        <v>3836.6</v>
      </c>
    </row>
    <row r="555" spans="1:7">
      <c r="A555" s="56" t="s">
        <v>38</v>
      </c>
      <c r="B555" s="56" t="s">
        <v>66</v>
      </c>
      <c r="C555" s="56">
        <v>1620100000</v>
      </c>
      <c r="D555" s="56"/>
      <c r="E555" s="55" t="s">
        <v>127</v>
      </c>
      <c r="F555" s="28">
        <f>F556+F559</f>
        <v>3586.8999999999996</v>
      </c>
      <c r="G555" s="28">
        <f t="shared" ref="G555" si="192">G556+G559</f>
        <v>3576.6</v>
      </c>
    </row>
    <row r="556" spans="1:7">
      <c r="A556" s="56" t="s">
        <v>38</v>
      </c>
      <c r="B556" s="56" t="s">
        <v>66</v>
      </c>
      <c r="C556" s="56">
        <v>1620120210</v>
      </c>
      <c r="D556" s="25"/>
      <c r="E556" s="55" t="s">
        <v>128</v>
      </c>
      <c r="F556" s="28">
        <f>F557</f>
        <v>3415.4999999999995</v>
      </c>
      <c r="G556" s="28">
        <f t="shared" ref="G556:G557" si="193">G557</f>
        <v>3405.2</v>
      </c>
    </row>
    <row r="557" spans="1:7" ht="31.5">
      <c r="A557" s="56" t="s">
        <v>38</v>
      </c>
      <c r="B557" s="56" t="s">
        <v>66</v>
      </c>
      <c r="C557" s="56">
        <v>1620120210</v>
      </c>
      <c r="D557" s="56" t="s">
        <v>75</v>
      </c>
      <c r="E557" s="55" t="s">
        <v>107</v>
      </c>
      <c r="F557" s="28">
        <f>F558</f>
        <v>3415.4999999999995</v>
      </c>
      <c r="G557" s="28">
        <f t="shared" si="193"/>
        <v>3405.2</v>
      </c>
    </row>
    <row r="558" spans="1:7" ht="34.9" customHeight="1">
      <c r="A558" s="56" t="s">
        <v>38</v>
      </c>
      <c r="B558" s="56" t="s">
        <v>66</v>
      </c>
      <c r="C558" s="56">
        <v>1620120210</v>
      </c>
      <c r="D558" s="54">
        <v>240</v>
      </c>
      <c r="E558" s="178" t="s">
        <v>441</v>
      </c>
      <c r="F558" s="28">
        <f>2122.2+1038.1-130.8-70+600-144</f>
        <v>3415.4999999999995</v>
      </c>
      <c r="G558" s="28">
        <v>3405.2</v>
      </c>
    </row>
    <row r="559" spans="1:7" ht="31.5">
      <c r="A559" s="56" t="s">
        <v>38</v>
      </c>
      <c r="B559" s="56" t="s">
        <v>66</v>
      </c>
      <c r="C559" s="56">
        <v>1620120220</v>
      </c>
      <c r="D559" s="54"/>
      <c r="E559" s="55" t="s">
        <v>125</v>
      </c>
      <c r="F559" s="28">
        <f>F560</f>
        <v>171.4</v>
      </c>
      <c r="G559" s="28">
        <f t="shared" ref="G559:G560" si="194">G560</f>
        <v>171.4</v>
      </c>
    </row>
    <row r="560" spans="1:7" ht="31.5">
      <c r="A560" s="56" t="s">
        <v>38</v>
      </c>
      <c r="B560" s="56" t="s">
        <v>66</v>
      </c>
      <c r="C560" s="56">
        <v>1620120220</v>
      </c>
      <c r="D560" s="56" t="s">
        <v>75</v>
      </c>
      <c r="E560" s="55" t="s">
        <v>107</v>
      </c>
      <c r="F560" s="28">
        <f>F561</f>
        <v>171.4</v>
      </c>
      <c r="G560" s="28">
        <f t="shared" si="194"/>
        <v>171.4</v>
      </c>
    </row>
    <row r="561" spans="1:7" ht="32.450000000000003" customHeight="1">
      <c r="A561" s="56" t="s">
        <v>38</v>
      </c>
      <c r="B561" s="56" t="s">
        <v>66</v>
      </c>
      <c r="C561" s="56">
        <v>1620120220</v>
      </c>
      <c r="D561" s="54">
        <v>240</v>
      </c>
      <c r="E561" s="178" t="s">
        <v>441</v>
      </c>
      <c r="F561" s="28">
        <f>208-36.6</f>
        <v>171.4</v>
      </c>
      <c r="G561" s="28">
        <v>171.4</v>
      </c>
    </row>
    <row r="562" spans="1:7" ht="32.450000000000003" customHeight="1">
      <c r="A562" s="90" t="s">
        <v>38</v>
      </c>
      <c r="B562" s="90" t="s">
        <v>66</v>
      </c>
      <c r="C562" s="90">
        <v>1620300000</v>
      </c>
      <c r="D562" s="90"/>
      <c r="E562" s="89" t="s">
        <v>357</v>
      </c>
      <c r="F562" s="28">
        <f>F563</f>
        <v>260</v>
      </c>
      <c r="G562" s="28">
        <f t="shared" ref="G562:G564" si="195">G563</f>
        <v>260</v>
      </c>
    </row>
    <row r="563" spans="1:7" ht="32.450000000000003" customHeight="1">
      <c r="A563" s="90" t="s">
        <v>38</v>
      </c>
      <c r="B563" s="90" t="s">
        <v>66</v>
      </c>
      <c r="C563" s="90">
        <v>1620320030</v>
      </c>
      <c r="D563" s="88"/>
      <c r="E563" s="89" t="s">
        <v>358</v>
      </c>
      <c r="F563" s="28">
        <f>F564</f>
        <v>260</v>
      </c>
      <c r="G563" s="28">
        <f t="shared" si="195"/>
        <v>260</v>
      </c>
    </row>
    <row r="564" spans="1:7" ht="32.450000000000003" customHeight="1">
      <c r="A564" s="90" t="s">
        <v>38</v>
      </c>
      <c r="B564" s="90" t="s">
        <v>66</v>
      </c>
      <c r="C564" s="90">
        <v>1620320030</v>
      </c>
      <c r="D564" s="90" t="s">
        <v>75</v>
      </c>
      <c r="E564" s="89" t="s">
        <v>107</v>
      </c>
      <c r="F564" s="28">
        <f>F565</f>
        <v>260</v>
      </c>
      <c r="G564" s="28">
        <f t="shared" si="195"/>
        <v>260</v>
      </c>
    </row>
    <row r="565" spans="1:7" ht="32.450000000000003" customHeight="1">
      <c r="A565" s="90" t="s">
        <v>38</v>
      </c>
      <c r="B565" s="90" t="s">
        <v>66</v>
      </c>
      <c r="C565" s="90">
        <v>1620320030</v>
      </c>
      <c r="D565" s="88">
        <v>240</v>
      </c>
      <c r="E565" s="178" t="s">
        <v>441</v>
      </c>
      <c r="F565" s="28">
        <v>260</v>
      </c>
      <c r="G565" s="28">
        <v>260</v>
      </c>
    </row>
    <row r="566" spans="1:7" ht="47.25">
      <c r="A566" s="75" t="s">
        <v>38</v>
      </c>
      <c r="B566" s="73" t="s">
        <v>66</v>
      </c>
      <c r="C566" s="75">
        <v>1630000000</v>
      </c>
      <c r="D566" s="73"/>
      <c r="E566" s="74" t="s">
        <v>274</v>
      </c>
      <c r="F566" s="28">
        <f>F567</f>
        <v>6</v>
      </c>
      <c r="G566" s="28">
        <f t="shared" ref="G566:G569" si="196">G567</f>
        <v>6</v>
      </c>
    </row>
    <row r="567" spans="1:7" ht="47.25">
      <c r="A567" s="75" t="s">
        <v>38</v>
      </c>
      <c r="B567" s="75" t="s">
        <v>66</v>
      </c>
      <c r="C567" s="73">
        <v>1630100000</v>
      </c>
      <c r="D567" s="73"/>
      <c r="E567" s="74" t="s">
        <v>275</v>
      </c>
      <c r="F567" s="28">
        <f>F568</f>
        <v>6</v>
      </c>
      <c r="G567" s="28">
        <f t="shared" si="196"/>
        <v>6</v>
      </c>
    </row>
    <row r="568" spans="1:7" ht="47.25">
      <c r="A568" s="75" t="s">
        <v>38</v>
      </c>
      <c r="B568" s="73" t="s">
        <v>66</v>
      </c>
      <c r="C568" s="73">
        <v>1630120180</v>
      </c>
      <c r="D568" s="73"/>
      <c r="E568" s="74" t="s">
        <v>276</v>
      </c>
      <c r="F568" s="28">
        <f>F569</f>
        <v>6</v>
      </c>
      <c r="G568" s="28">
        <f t="shared" si="196"/>
        <v>6</v>
      </c>
    </row>
    <row r="569" spans="1:7" ht="31.5">
      <c r="A569" s="75" t="s">
        <v>38</v>
      </c>
      <c r="B569" s="75" t="s">
        <v>66</v>
      </c>
      <c r="C569" s="73">
        <v>1630120180</v>
      </c>
      <c r="D569" s="73" t="s">
        <v>75</v>
      </c>
      <c r="E569" s="74" t="s">
        <v>107</v>
      </c>
      <c r="F569" s="28">
        <f>F570</f>
        <v>6</v>
      </c>
      <c r="G569" s="28">
        <f t="shared" si="196"/>
        <v>6</v>
      </c>
    </row>
    <row r="570" spans="1:7" ht="30.6" customHeight="1">
      <c r="A570" s="75" t="s">
        <v>38</v>
      </c>
      <c r="B570" s="75" t="s">
        <v>66</v>
      </c>
      <c r="C570" s="73">
        <v>1630120180</v>
      </c>
      <c r="D570" s="73">
        <v>240</v>
      </c>
      <c r="E570" s="74" t="s">
        <v>441</v>
      </c>
      <c r="F570" s="28">
        <v>6</v>
      </c>
      <c r="G570" s="28">
        <v>6</v>
      </c>
    </row>
    <row r="571" spans="1:7">
      <c r="A571" s="56" t="s">
        <v>38</v>
      </c>
      <c r="B571" s="56" t="s">
        <v>66</v>
      </c>
      <c r="C571" s="56" t="s">
        <v>129</v>
      </c>
      <c r="D571" s="56" t="s">
        <v>72</v>
      </c>
      <c r="E571" s="55" t="s">
        <v>124</v>
      </c>
      <c r="F571" s="28">
        <f>F576+F572</f>
        <v>5510.7000000000007</v>
      </c>
      <c r="G571" s="28">
        <f t="shared" ref="G571" si="197">G576+G572</f>
        <v>5500.2999999999993</v>
      </c>
    </row>
    <row r="572" spans="1:7" ht="31.5">
      <c r="A572" s="68" t="s">
        <v>38</v>
      </c>
      <c r="B572" s="68" t="s">
        <v>66</v>
      </c>
      <c r="C572" s="66">
        <v>9930000000</v>
      </c>
      <c r="D572" s="66"/>
      <c r="E572" s="67" t="s">
        <v>202</v>
      </c>
      <c r="F572" s="28">
        <f>F573</f>
        <v>1055.0999999999999</v>
      </c>
      <c r="G572" s="28">
        <f t="shared" ref="G572:G574" si="198">G573</f>
        <v>1055.0999999999999</v>
      </c>
    </row>
    <row r="573" spans="1:7" ht="31.5">
      <c r="A573" s="68" t="s">
        <v>38</v>
      </c>
      <c r="B573" s="68" t="s">
        <v>66</v>
      </c>
      <c r="C573" s="66">
        <v>9930020490</v>
      </c>
      <c r="D573" s="66"/>
      <c r="E573" s="143" t="s">
        <v>332</v>
      </c>
      <c r="F573" s="28">
        <f>F574</f>
        <v>1055.0999999999999</v>
      </c>
      <c r="G573" s="28">
        <f t="shared" si="198"/>
        <v>1055.0999999999999</v>
      </c>
    </row>
    <row r="574" spans="1:7">
      <c r="A574" s="68" t="s">
        <v>38</v>
      </c>
      <c r="B574" s="68" t="s">
        <v>66</v>
      </c>
      <c r="C574" s="66">
        <v>9930020490</v>
      </c>
      <c r="D574" s="13" t="s">
        <v>76</v>
      </c>
      <c r="E574" s="71" t="s">
        <v>77</v>
      </c>
      <c r="F574" s="28">
        <f>F575</f>
        <v>1055.0999999999999</v>
      </c>
      <c r="G574" s="28">
        <f t="shared" si="198"/>
        <v>1055.0999999999999</v>
      </c>
    </row>
    <row r="575" spans="1:7">
      <c r="A575" s="68" t="s">
        <v>38</v>
      </c>
      <c r="B575" s="68" t="s">
        <v>66</v>
      </c>
      <c r="C575" s="66">
        <v>9930020490</v>
      </c>
      <c r="D575" s="1" t="s">
        <v>333</v>
      </c>
      <c r="E575" s="22" t="s">
        <v>334</v>
      </c>
      <c r="F575" s="28">
        <f>4.5+1043.1+7.5</f>
        <v>1055.0999999999999</v>
      </c>
      <c r="G575" s="28">
        <v>1055.0999999999999</v>
      </c>
    </row>
    <row r="576" spans="1:7" ht="31.5">
      <c r="A576" s="56" t="s">
        <v>38</v>
      </c>
      <c r="B576" s="56" t="s">
        <v>66</v>
      </c>
      <c r="C576" s="54">
        <v>9990000000</v>
      </c>
      <c r="D576" s="54"/>
      <c r="E576" s="55" t="s">
        <v>189</v>
      </c>
      <c r="F576" s="28">
        <f>F577</f>
        <v>4455.6000000000004</v>
      </c>
      <c r="G576" s="28">
        <f t="shared" ref="G576:G577" si="199">G577</f>
        <v>4445.2</v>
      </c>
    </row>
    <row r="577" spans="1:7" ht="31.5">
      <c r="A577" s="56" t="s">
        <v>38</v>
      </c>
      <c r="B577" s="56" t="s">
        <v>66</v>
      </c>
      <c r="C577" s="54">
        <v>9990200000</v>
      </c>
      <c r="D577" s="30"/>
      <c r="E577" s="55" t="s">
        <v>138</v>
      </c>
      <c r="F577" s="28">
        <f>F578</f>
        <v>4455.6000000000004</v>
      </c>
      <c r="G577" s="28">
        <f t="shared" si="199"/>
        <v>4445.2</v>
      </c>
    </row>
    <row r="578" spans="1:7" ht="47.25">
      <c r="A578" s="56" t="s">
        <v>38</v>
      </c>
      <c r="B578" s="56" t="s">
        <v>66</v>
      </c>
      <c r="C578" s="54">
        <v>9990225000</v>
      </c>
      <c r="D578" s="54"/>
      <c r="E578" s="55" t="s">
        <v>139</v>
      </c>
      <c r="F578" s="28">
        <f>F579+F581</f>
        <v>4455.6000000000004</v>
      </c>
      <c r="G578" s="28">
        <f t="shared" ref="G578" si="200">G579+G581</f>
        <v>4445.2</v>
      </c>
    </row>
    <row r="579" spans="1:7" ht="63">
      <c r="A579" s="56" t="s">
        <v>38</v>
      </c>
      <c r="B579" s="56" t="s">
        <v>66</v>
      </c>
      <c r="C579" s="54">
        <v>9990225000</v>
      </c>
      <c r="D579" s="56" t="s">
        <v>74</v>
      </c>
      <c r="E579" s="55" t="s">
        <v>2</v>
      </c>
      <c r="F579" s="28">
        <f>F580</f>
        <v>4389.8</v>
      </c>
      <c r="G579" s="28">
        <f t="shared" ref="G579" si="201">G580</f>
        <v>4379.3999999999996</v>
      </c>
    </row>
    <row r="580" spans="1:7" ht="34.9" customHeight="1">
      <c r="A580" s="56" t="s">
        <v>38</v>
      </c>
      <c r="B580" s="56" t="s">
        <v>66</v>
      </c>
      <c r="C580" s="54">
        <v>9990225000</v>
      </c>
      <c r="D580" s="54">
        <v>120</v>
      </c>
      <c r="E580" s="55" t="s">
        <v>443</v>
      </c>
      <c r="F580" s="28">
        <f>1350.2+2505.1+253.7+280.8</f>
        <v>4389.8</v>
      </c>
      <c r="G580" s="28">
        <v>4379.3999999999996</v>
      </c>
    </row>
    <row r="581" spans="1:7" ht="31.5">
      <c r="A581" s="56" t="s">
        <v>38</v>
      </c>
      <c r="B581" s="56" t="s">
        <v>66</v>
      </c>
      <c r="C581" s="54">
        <v>9990225000</v>
      </c>
      <c r="D581" s="56" t="s">
        <v>75</v>
      </c>
      <c r="E581" s="55" t="s">
        <v>107</v>
      </c>
      <c r="F581" s="28">
        <f>F582</f>
        <v>65.8</v>
      </c>
      <c r="G581" s="28">
        <f t="shared" ref="G581" si="202">G582</f>
        <v>65.8</v>
      </c>
    </row>
    <row r="582" spans="1:7" ht="31.15" customHeight="1">
      <c r="A582" s="56" t="s">
        <v>38</v>
      </c>
      <c r="B582" s="56" t="s">
        <v>66</v>
      </c>
      <c r="C582" s="54">
        <v>9990225000</v>
      </c>
      <c r="D582" s="54">
        <v>240</v>
      </c>
      <c r="E582" s="178" t="s">
        <v>441</v>
      </c>
      <c r="F582" s="28">
        <f>58+7.8</f>
        <v>65.8</v>
      </c>
      <c r="G582" s="28">
        <v>65.8</v>
      </c>
    </row>
    <row r="583" spans="1:7">
      <c r="A583" s="56" t="s">
        <v>38</v>
      </c>
      <c r="B583" s="56" t="s">
        <v>62</v>
      </c>
      <c r="C583" s="56" t="s">
        <v>72</v>
      </c>
      <c r="D583" s="56" t="s">
        <v>72</v>
      </c>
      <c r="E583" s="55" t="s">
        <v>30</v>
      </c>
      <c r="F583" s="28">
        <f t="shared" ref="F583:G589" si="203">F584</f>
        <v>300</v>
      </c>
      <c r="G583" s="28">
        <f t="shared" si="203"/>
        <v>299.5</v>
      </c>
    </row>
    <row r="584" spans="1:7">
      <c r="A584" s="56" t="s">
        <v>38</v>
      </c>
      <c r="B584" s="56" t="s">
        <v>54</v>
      </c>
      <c r="C584" s="56" t="s">
        <v>72</v>
      </c>
      <c r="D584" s="56" t="s">
        <v>72</v>
      </c>
      <c r="E584" s="55" t="s">
        <v>31</v>
      </c>
      <c r="F584" s="28">
        <f t="shared" si="203"/>
        <v>300</v>
      </c>
      <c r="G584" s="28">
        <f t="shared" si="203"/>
        <v>299.5</v>
      </c>
    </row>
    <row r="585" spans="1:7" ht="47.25">
      <c r="A585" s="56" t="s">
        <v>38</v>
      </c>
      <c r="B585" s="56" t="s">
        <v>54</v>
      </c>
      <c r="C585" s="56">
        <v>1600000000</v>
      </c>
      <c r="D585" s="56"/>
      <c r="E585" s="55" t="s">
        <v>133</v>
      </c>
      <c r="F585" s="28">
        <f t="shared" si="203"/>
        <v>300</v>
      </c>
      <c r="G585" s="28">
        <f t="shared" si="203"/>
        <v>299.5</v>
      </c>
    </row>
    <row r="586" spans="1:7" ht="31.5">
      <c r="A586" s="56" t="s">
        <v>38</v>
      </c>
      <c r="B586" s="56" t="s">
        <v>54</v>
      </c>
      <c r="C586" s="56">
        <v>1620000000</v>
      </c>
      <c r="D586" s="56"/>
      <c r="E586" s="55" t="s">
        <v>126</v>
      </c>
      <c r="F586" s="28">
        <f t="shared" si="203"/>
        <v>300</v>
      </c>
      <c r="G586" s="28">
        <f t="shared" si="203"/>
        <v>299.5</v>
      </c>
    </row>
    <row r="587" spans="1:7">
      <c r="A587" s="56" t="s">
        <v>38</v>
      </c>
      <c r="B587" s="56" t="s">
        <v>54</v>
      </c>
      <c r="C587" s="56">
        <v>1620100000</v>
      </c>
      <c r="D587" s="56"/>
      <c r="E587" s="55" t="s">
        <v>127</v>
      </c>
      <c r="F587" s="28">
        <f t="shared" si="203"/>
        <v>300</v>
      </c>
      <c r="G587" s="28">
        <f t="shared" si="203"/>
        <v>299.5</v>
      </c>
    </row>
    <row r="588" spans="1:7" ht="31.5">
      <c r="A588" s="56" t="s">
        <v>38</v>
      </c>
      <c r="B588" s="56" t="s">
        <v>54</v>
      </c>
      <c r="C588" s="56">
        <v>1620120240</v>
      </c>
      <c r="D588" s="56"/>
      <c r="E588" s="55" t="s">
        <v>130</v>
      </c>
      <c r="F588" s="28">
        <f t="shared" si="203"/>
        <v>300</v>
      </c>
      <c r="G588" s="28">
        <f t="shared" si="203"/>
        <v>299.5</v>
      </c>
    </row>
    <row r="589" spans="1:7" ht="31.5">
      <c r="A589" s="56" t="s">
        <v>38</v>
      </c>
      <c r="B589" s="56" t="s">
        <v>54</v>
      </c>
      <c r="C589" s="56">
        <v>1620120240</v>
      </c>
      <c r="D589" s="56" t="s">
        <v>75</v>
      </c>
      <c r="E589" s="55" t="s">
        <v>107</v>
      </c>
      <c r="F589" s="28">
        <f t="shared" si="203"/>
        <v>300</v>
      </c>
      <c r="G589" s="28">
        <f t="shared" si="203"/>
        <v>299.5</v>
      </c>
    </row>
    <row r="590" spans="1:7" ht="34.15" customHeight="1">
      <c r="A590" s="56" t="s">
        <v>38</v>
      </c>
      <c r="B590" s="56" t="s">
        <v>54</v>
      </c>
      <c r="C590" s="56">
        <v>1620120240</v>
      </c>
      <c r="D590" s="54">
        <v>240</v>
      </c>
      <c r="E590" s="55" t="s">
        <v>441</v>
      </c>
      <c r="F590" s="28">
        <f>500-200</f>
        <v>300</v>
      </c>
      <c r="G590" s="28">
        <v>299.5</v>
      </c>
    </row>
    <row r="591" spans="1:7">
      <c r="A591" s="56" t="s">
        <v>38</v>
      </c>
      <c r="B591" s="56" t="s">
        <v>63</v>
      </c>
      <c r="C591" s="56" t="s">
        <v>72</v>
      </c>
      <c r="D591" s="56" t="s">
        <v>72</v>
      </c>
      <c r="E591" s="55" t="s">
        <v>32</v>
      </c>
      <c r="F591" s="28">
        <f t="shared" ref="F591:G597" si="204">F592</f>
        <v>1793.7</v>
      </c>
      <c r="G591" s="28">
        <f t="shared" si="204"/>
        <v>1788.9</v>
      </c>
    </row>
    <row r="592" spans="1:7">
      <c r="A592" s="56" t="s">
        <v>38</v>
      </c>
      <c r="B592" s="56" t="s">
        <v>7</v>
      </c>
      <c r="C592" s="56" t="s">
        <v>72</v>
      </c>
      <c r="D592" s="56" t="s">
        <v>72</v>
      </c>
      <c r="E592" s="55" t="s">
        <v>8</v>
      </c>
      <c r="F592" s="28">
        <f t="shared" si="204"/>
        <v>1793.7</v>
      </c>
      <c r="G592" s="28">
        <f t="shared" si="204"/>
        <v>1788.9</v>
      </c>
    </row>
    <row r="593" spans="1:7" ht="47.25">
      <c r="A593" s="56" t="s">
        <v>38</v>
      </c>
      <c r="B593" s="56" t="s">
        <v>7</v>
      </c>
      <c r="C593" s="56">
        <v>1600000000</v>
      </c>
      <c r="D593" s="56"/>
      <c r="E593" s="55" t="s">
        <v>133</v>
      </c>
      <c r="F593" s="28">
        <f t="shared" si="204"/>
        <v>1793.7</v>
      </c>
      <c r="G593" s="28">
        <f t="shared" si="204"/>
        <v>1788.9</v>
      </c>
    </row>
    <row r="594" spans="1:7" ht="31.5">
      <c r="A594" s="56" t="s">
        <v>38</v>
      </c>
      <c r="B594" s="56" t="s">
        <v>7</v>
      </c>
      <c r="C594" s="56">
        <v>1620000000</v>
      </c>
      <c r="D594" s="56"/>
      <c r="E594" s="55" t="s">
        <v>126</v>
      </c>
      <c r="F594" s="28">
        <f t="shared" si="204"/>
        <v>1793.7</v>
      </c>
      <c r="G594" s="28">
        <f t="shared" si="204"/>
        <v>1788.9</v>
      </c>
    </row>
    <row r="595" spans="1:7">
      <c r="A595" s="56" t="s">
        <v>38</v>
      </c>
      <c r="B595" s="56" t="s">
        <v>7</v>
      </c>
      <c r="C595" s="56">
        <v>1620100000</v>
      </c>
      <c r="D595" s="56"/>
      <c r="E595" s="55" t="s">
        <v>127</v>
      </c>
      <c r="F595" s="28">
        <f t="shared" si="204"/>
        <v>1793.7</v>
      </c>
      <c r="G595" s="28">
        <f t="shared" si="204"/>
        <v>1788.9</v>
      </c>
    </row>
    <row r="596" spans="1:7" ht="47.25">
      <c r="A596" s="56" t="s">
        <v>38</v>
      </c>
      <c r="B596" s="56" t="s">
        <v>7</v>
      </c>
      <c r="C596" s="56">
        <v>1620120230</v>
      </c>
      <c r="D596" s="56"/>
      <c r="E596" s="55" t="s">
        <v>132</v>
      </c>
      <c r="F596" s="28">
        <f t="shared" si="204"/>
        <v>1793.7</v>
      </c>
      <c r="G596" s="28">
        <f t="shared" si="204"/>
        <v>1788.9</v>
      </c>
    </row>
    <row r="597" spans="1:7" ht="31.5">
      <c r="A597" s="56" t="s">
        <v>38</v>
      </c>
      <c r="B597" s="56" t="s">
        <v>7</v>
      </c>
      <c r="C597" s="56">
        <v>1620120230</v>
      </c>
      <c r="D597" s="56" t="s">
        <v>75</v>
      </c>
      <c r="E597" s="55" t="s">
        <v>107</v>
      </c>
      <c r="F597" s="28">
        <f t="shared" si="204"/>
        <v>1793.7</v>
      </c>
      <c r="G597" s="28">
        <f t="shared" si="204"/>
        <v>1788.9</v>
      </c>
    </row>
    <row r="598" spans="1:7" ht="31.5">
      <c r="A598" s="56" t="s">
        <v>38</v>
      </c>
      <c r="B598" s="56" t="s">
        <v>7</v>
      </c>
      <c r="C598" s="56">
        <v>1620120230</v>
      </c>
      <c r="D598" s="54">
        <v>240</v>
      </c>
      <c r="E598" s="177" t="s">
        <v>441</v>
      </c>
      <c r="F598" s="28">
        <f>1433.7+360</f>
        <v>1793.7</v>
      </c>
      <c r="G598" s="28">
        <v>1788.9</v>
      </c>
    </row>
    <row r="599" spans="1:7">
      <c r="A599" s="56" t="s">
        <v>38</v>
      </c>
      <c r="B599" s="56" t="s">
        <v>44</v>
      </c>
      <c r="C599" s="56" t="s">
        <v>72</v>
      </c>
      <c r="D599" s="56" t="s">
        <v>72</v>
      </c>
      <c r="E599" s="55" t="s">
        <v>36</v>
      </c>
      <c r="F599" s="28">
        <f>F610+F600</f>
        <v>17311.8</v>
      </c>
      <c r="G599" s="28">
        <f t="shared" ref="G599" si="205">G610+G600</f>
        <v>17288.5</v>
      </c>
    </row>
    <row r="600" spans="1:7">
      <c r="A600" s="68" t="s">
        <v>38</v>
      </c>
      <c r="B600" s="66" t="s">
        <v>45</v>
      </c>
      <c r="C600" s="66" t="s">
        <v>72</v>
      </c>
      <c r="D600" s="66" t="s">
        <v>72</v>
      </c>
      <c r="E600" s="67" t="s">
        <v>39</v>
      </c>
      <c r="F600" s="28">
        <f t="shared" ref="F600:F608" si="206">F601</f>
        <v>6309.3</v>
      </c>
      <c r="G600" s="28">
        <f t="shared" ref="G600:G608" si="207">G601</f>
        <v>6286</v>
      </c>
    </row>
    <row r="601" spans="1:7" ht="47.25">
      <c r="A601" s="68" t="s">
        <v>38</v>
      </c>
      <c r="B601" s="66" t="s">
        <v>45</v>
      </c>
      <c r="C601" s="68">
        <v>1600000000</v>
      </c>
      <c r="D601" s="68"/>
      <c r="E601" s="67" t="s">
        <v>133</v>
      </c>
      <c r="F601" s="28">
        <f t="shared" si="206"/>
        <v>6309.3</v>
      </c>
      <c r="G601" s="28">
        <f t="shared" si="207"/>
        <v>6286</v>
      </c>
    </row>
    <row r="602" spans="1:7" ht="31.5">
      <c r="A602" s="68" t="s">
        <v>38</v>
      </c>
      <c r="B602" s="66" t="s">
        <v>45</v>
      </c>
      <c r="C602" s="68">
        <v>1620000000</v>
      </c>
      <c r="D602" s="68"/>
      <c r="E602" s="67" t="s">
        <v>126</v>
      </c>
      <c r="F602" s="28">
        <f t="shared" si="206"/>
        <v>6309.3</v>
      </c>
      <c r="G602" s="28">
        <f t="shared" si="207"/>
        <v>6286</v>
      </c>
    </row>
    <row r="603" spans="1:7" ht="17.25" customHeight="1">
      <c r="A603" s="68" t="s">
        <v>38</v>
      </c>
      <c r="B603" s="66" t="s">
        <v>45</v>
      </c>
      <c r="C603" s="68">
        <v>1620200000</v>
      </c>
      <c r="D603" s="68"/>
      <c r="E603" s="67" t="s">
        <v>131</v>
      </c>
      <c r="F603" s="28">
        <f>F607+F604</f>
        <v>6309.3</v>
      </c>
      <c r="G603" s="28">
        <f t="shared" ref="G603" si="208">G607+G604</f>
        <v>6286</v>
      </c>
    </row>
    <row r="604" spans="1:7" ht="47.25">
      <c r="A604" s="107" t="s">
        <v>38</v>
      </c>
      <c r="B604" s="105" t="s">
        <v>45</v>
      </c>
      <c r="C604" s="107">
        <v>1620210290</v>
      </c>
      <c r="D604" s="107"/>
      <c r="E604" s="106" t="s">
        <v>368</v>
      </c>
      <c r="F604" s="28">
        <f>F605</f>
        <v>4423.5</v>
      </c>
      <c r="G604" s="28">
        <f t="shared" ref="G604:G605" si="209">G605</f>
        <v>4400.2</v>
      </c>
    </row>
    <row r="605" spans="1:7" ht="31.5">
      <c r="A605" s="107" t="s">
        <v>38</v>
      </c>
      <c r="B605" s="105" t="s">
        <v>45</v>
      </c>
      <c r="C605" s="107">
        <v>1620210290</v>
      </c>
      <c r="D605" s="107" t="s">
        <v>78</v>
      </c>
      <c r="E605" s="106" t="s">
        <v>108</v>
      </c>
      <c r="F605" s="28">
        <f>F606</f>
        <v>4423.5</v>
      </c>
      <c r="G605" s="28">
        <f t="shared" si="209"/>
        <v>4400.2</v>
      </c>
    </row>
    <row r="606" spans="1:7">
      <c r="A606" s="107" t="s">
        <v>38</v>
      </c>
      <c r="B606" s="105" t="s">
        <v>45</v>
      </c>
      <c r="C606" s="107">
        <v>1620210290</v>
      </c>
      <c r="D606" s="107" t="s">
        <v>140</v>
      </c>
      <c r="E606" s="106" t="s">
        <v>141</v>
      </c>
      <c r="F606" s="28">
        <v>4423.5</v>
      </c>
      <c r="G606" s="28">
        <v>4400.2</v>
      </c>
    </row>
    <row r="607" spans="1:7" ht="47.25">
      <c r="A607" s="68" t="s">
        <v>38</v>
      </c>
      <c r="B607" s="66" t="s">
        <v>45</v>
      </c>
      <c r="C607" s="68" t="s">
        <v>321</v>
      </c>
      <c r="D607" s="68"/>
      <c r="E607" s="67" t="s">
        <v>322</v>
      </c>
      <c r="F607" s="28">
        <f t="shared" si="206"/>
        <v>1885.8</v>
      </c>
      <c r="G607" s="28">
        <f t="shared" si="207"/>
        <v>1885.8</v>
      </c>
    </row>
    <row r="608" spans="1:7" ht="31.5">
      <c r="A608" s="68" t="s">
        <v>38</v>
      </c>
      <c r="B608" s="66" t="s">
        <v>45</v>
      </c>
      <c r="C608" s="68" t="s">
        <v>321</v>
      </c>
      <c r="D608" s="68" t="s">
        <v>78</v>
      </c>
      <c r="E608" s="67" t="s">
        <v>108</v>
      </c>
      <c r="F608" s="28">
        <f t="shared" si="206"/>
        <v>1885.8</v>
      </c>
      <c r="G608" s="28">
        <f t="shared" si="207"/>
        <v>1885.8</v>
      </c>
    </row>
    <row r="609" spans="1:7">
      <c r="A609" s="68" t="s">
        <v>38</v>
      </c>
      <c r="B609" s="66" t="s">
        <v>45</v>
      </c>
      <c r="C609" s="68" t="s">
        <v>321</v>
      </c>
      <c r="D609" s="68" t="s">
        <v>140</v>
      </c>
      <c r="E609" s="67" t="s">
        <v>141</v>
      </c>
      <c r="F609" s="28">
        <f>1790.8+105-10</f>
        <v>1885.8</v>
      </c>
      <c r="G609" s="28">
        <v>1885.8</v>
      </c>
    </row>
    <row r="610" spans="1:7">
      <c r="A610" s="56" t="s">
        <v>38</v>
      </c>
      <c r="B610" s="56" t="s">
        <v>91</v>
      </c>
      <c r="C610" s="56" t="s">
        <v>72</v>
      </c>
      <c r="D610" s="56" t="s">
        <v>72</v>
      </c>
      <c r="E610" s="55" t="s">
        <v>92</v>
      </c>
      <c r="F610" s="28">
        <f t="shared" ref="F610:G618" si="210">F611</f>
        <v>11002.5</v>
      </c>
      <c r="G610" s="28">
        <f t="shared" si="210"/>
        <v>11002.5</v>
      </c>
    </row>
    <row r="611" spans="1:7" ht="47.25">
      <c r="A611" s="56" t="s">
        <v>38</v>
      </c>
      <c r="B611" s="56" t="s">
        <v>91</v>
      </c>
      <c r="C611" s="56">
        <v>1600000000</v>
      </c>
      <c r="D611" s="56"/>
      <c r="E611" s="55" t="s">
        <v>133</v>
      </c>
      <c r="F611" s="28">
        <f t="shared" si="210"/>
        <v>11002.5</v>
      </c>
      <c r="G611" s="28">
        <f t="shared" si="210"/>
        <v>11002.5</v>
      </c>
    </row>
    <row r="612" spans="1:7" ht="31.5">
      <c r="A612" s="56" t="s">
        <v>38</v>
      </c>
      <c r="B612" s="56" t="s">
        <v>91</v>
      </c>
      <c r="C612" s="56">
        <v>1620000000</v>
      </c>
      <c r="D612" s="56"/>
      <c r="E612" s="55" t="s">
        <v>126</v>
      </c>
      <c r="F612" s="28">
        <f t="shared" si="210"/>
        <v>11002.5</v>
      </c>
      <c r="G612" s="28">
        <f t="shared" si="210"/>
        <v>11002.5</v>
      </c>
    </row>
    <row r="613" spans="1:7" ht="20.25" customHeight="1">
      <c r="A613" s="56" t="s">
        <v>38</v>
      </c>
      <c r="B613" s="56" t="s">
        <v>91</v>
      </c>
      <c r="C613" s="56">
        <v>1620200000</v>
      </c>
      <c r="D613" s="56"/>
      <c r="E613" s="55" t="s">
        <v>131</v>
      </c>
      <c r="F613" s="28">
        <f>F617+F614</f>
        <v>11002.5</v>
      </c>
      <c r="G613" s="28">
        <f t="shared" ref="G613" si="211">G617+G614</f>
        <v>11002.5</v>
      </c>
    </row>
    <row r="614" spans="1:7" ht="63">
      <c r="A614" s="65" t="s">
        <v>38</v>
      </c>
      <c r="B614" s="65" t="s">
        <v>91</v>
      </c>
      <c r="C614" s="65">
        <v>1620210820</v>
      </c>
      <c r="D614" s="65"/>
      <c r="E614" s="64" t="s">
        <v>316</v>
      </c>
      <c r="F614" s="28">
        <f>F615</f>
        <v>8001.8</v>
      </c>
      <c r="G614" s="28">
        <f t="shared" ref="G614:G615" si="212">G615</f>
        <v>8001.8</v>
      </c>
    </row>
    <row r="615" spans="1:7" ht="31.5">
      <c r="A615" s="65" t="s">
        <v>38</v>
      </c>
      <c r="B615" s="65" t="s">
        <v>91</v>
      </c>
      <c r="C615" s="65">
        <v>1620210820</v>
      </c>
      <c r="D615" s="65" t="s">
        <v>78</v>
      </c>
      <c r="E615" s="64" t="s">
        <v>108</v>
      </c>
      <c r="F615" s="28">
        <f>F616</f>
        <v>8001.8</v>
      </c>
      <c r="G615" s="28">
        <f t="shared" si="212"/>
        <v>8001.8</v>
      </c>
    </row>
    <row r="616" spans="1:7">
      <c r="A616" s="65" t="s">
        <v>38</v>
      </c>
      <c r="B616" s="65" t="s">
        <v>91</v>
      </c>
      <c r="C616" s="65">
        <v>1620210820</v>
      </c>
      <c r="D616" s="65" t="s">
        <v>140</v>
      </c>
      <c r="E616" s="64" t="s">
        <v>141</v>
      </c>
      <c r="F616" s="28">
        <v>8001.8</v>
      </c>
      <c r="G616" s="28">
        <v>8001.8</v>
      </c>
    </row>
    <row r="617" spans="1:7" ht="47.25">
      <c r="A617" s="56" t="s">
        <v>38</v>
      </c>
      <c r="B617" s="56" t="s">
        <v>91</v>
      </c>
      <c r="C617" s="56" t="s">
        <v>134</v>
      </c>
      <c r="D617" s="56"/>
      <c r="E617" s="55" t="s">
        <v>313</v>
      </c>
      <c r="F617" s="28">
        <f t="shared" si="210"/>
        <v>3000.7</v>
      </c>
      <c r="G617" s="28">
        <f t="shared" si="210"/>
        <v>3000.7</v>
      </c>
    </row>
    <row r="618" spans="1:7" ht="31.5">
      <c r="A618" s="56" t="s">
        <v>38</v>
      </c>
      <c r="B618" s="56" t="s">
        <v>91</v>
      </c>
      <c r="C618" s="56" t="s">
        <v>134</v>
      </c>
      <c r="D618" s="56" t="s">
        <v>78</v>
      </c>
      <c r="E618" s="55" t="s">
        <v>108</v>
      </c>
      <c r="F618" s="28">
        <f t="shared" si="210"/>
        <v>3000.7</v>
      </c>
      <c r="G618" s="28">
        <f t="shared" si="210"/>
        <v>3000.7</v>
      </c>
    </row>
    <row r="619" spans="1:7">
      <c r="A619" s="56" t="s">
        <v>38</v>
      </c>
      <c r="B619" s="56" t="s">
        <v>91</v>
      </c>
      <c r="C619" s="56" t="s">
        <v>134</v>
      </c>
      <c r="D619" s="56" t="s">
        <v>140</v>
      </c>
      <c r="E619" s="55" t="s">
        <v>141</v>
      </c>
      <c r="F619" s="28">
        <f>11002.5-8001.8</f>
        <v>3000.7</v>
      </c>
      <c r="G619" s="28">
        <v>3000.7</v>
      </c>
    </row>
    <row r="620" spans="1:7">
      <c r="A620" s="19" t="s">
        <v>18</v>
      </c>
      <c r="B620" s="30" t="s">
        <v>72</v>
      </c>
      <c r="C620" s="30" t="s">
        <v>72</v>
      </c>
      <c r="D620" s="30" t="s">
        <v>72</v>
      </c>
      <c r="E620" s="32" t="s">
        <v>3</v>
      </c>
      <c r="F620" s="33">
        <f>F621</f>
        <v>3614.5</v>
      </c>
      <c r="G620" s="33">
        <f t="shared" ref="G620:G624" si="213">G621</f>
        <v>3614.5</v>
      </c>
    </row>
    <row r="621" spans="1:7">
      <c r="A621" s="54" t="s">
        <v>18</v>
      </c>
      <c r="B621" s="54" t="s">
        <v>60</v>
      </c>
      <c r="C621" s="54" t="s">
        <v>72</v>
      </c>
      <c r="D621" s="54" t="s">
        <v>72</v>
      </c>
      <c r="E621" s="16" t="s">
        <v>25</v>
      </c>
      <c r="F621" s="28">
        <f>F622</f>
        <v>3614.5</v>
      </c>
      <c r="G621" s="28">
        <f t="shared" si="213"/>
        <v>3614.5</v>
      </c>
    </row>
    <row r="622" spans="1:7" ht="47.25">
      <c r="A622" s="54" t="s">
        <v>18</v>
      </c>
      <c r="B622" s="54" t="s">
        <v>49</v>
      </c>
      <c r="C622" s="54" t="s">
        <v>72</v>
      </c>
      <c r="D622" s="54" t="s">
        <v>72</v>
      </c>
      <c r="E622" s="55" t="s">
        <v>26</v>
      </c>
      <c r="F622" s="28">
        <f>F623</f>
        <v>3614.5</v>
      </c>
      <c r="G622" s="28">
        <f t="shared" si="213"/>
        <v>3614.5</v>
      </c>
    </row>
    <row r="623" spans="1:7">
      <c r="A623" s="54" t="s">
        <v>18</v>
      </c>
      <c r="B623" s="54" t="s">
        <v>49</v>
      </c>
      <c r="C623" s="56" t="s">
        <v>129</v>
      </c>
      <c r="D623" s="56" t="s">
        <v>72</v>
      </c>
      <c r="E623" s="55" t="s">
        <v>124</v>
      </c>
      <c r="F623" s="28">
        <f>F624</f>
        <v>3614.5</v>
      </c>
      <c r="G623" s="28">
        <f t="shared" si="213"/>
        <v>3614.5</v>
      </c>
    </row>
    <row r="624" spans="1:7" ht="31.5">
      <c r="A624" s="54" t="s">
        <v>18</v>
      </c>
      <c r="B624" s="54" t="s">
        <v>49</v>
      </c>
      <c r="C624" s="54">
        <v>9990000000</v>
      </c>
      <c r="D624" s="54"/>
      <c r="E624" s="55" t="s">
        <v>189</v>
      </c>
      <c r="F624" s="28">
        <f>F625</f>
        <v>3614.5</v>
      </c>
      <c r="G624" s="28">
        <f t="shared" si="213"/>
        <v>3614.5</v>
      </c>
    </row>
    <row r="625" spans="1:7" ht="31.5">
      <c r="A625" s="54" t="s">
        <v>18</v>
      </c>
      <c r="B625" s="54" t="s">
        <v>49</v>
      </c>
      <c r="C625" s="54">
        <v>9990100000</v>
      </c>
      <c r="D625" s="54"/>
      <c r="E625" s="55" t="s">
        <v>211</v>
      </c>
      <c r="F625" s="28">
        <f>F632+F635+F626+F629</f>
        <v>3614.5</v>
      </c>
      <c r="G625" s="28">
        <f>G632+G635+G626+G629</f>
        <v>3614.5</v>
      </c>
    </row>
    <row r="626" spans="1:7" ht="50.25" customHeight="1">
      <c r="A626" s="199" t="s">
        <v>18</v>
      </c>
      <c r="B626" s="199" t="s">
        <v>49</v>
      </c>
      <c r="C626" s="199">
        <v>9990110200</v>
      </c>
      <c r="D626" s="199"/>
      <c r="E626" s="200" t="s">
        <v>349</v>
      </c>
      <c r="F626" s="28">
        <f>F627</f>
        <v>50.9</v>
      </c>
      <c r="G626" s="28">
        <f t="shared" ref="G626:G627" si="214">G627</f>
        <v>50.9</v>
      </c>
    </row>
    <row r="627" spans="1:7" ht="63">
      <c r="A627" s="199" t="s">
        <v>18</v>
      </c>
      <c r="B627" s="199" t="s">
        <v>49</v>
      </c>
      <c r="C627" s="199">
        <v>9990110200</v>
      </c>
      <c r="D627" s="201" t="s">
        <v>74</v>
      </c>
      <c r="E627" s="200" t="s">
        <v>2</v>
      </c>
      <c r="F627" s="28">
        <f>F628</f>
        <v>50.9</v>
      </c>
      <c r="G627" s="28">
        <f t="shared" si="214"/>
        <v>50.9</v>
      </c>
    </row>
    <row r="628" spans="1:7" ht="31.5">
      <c r="A628" s="199" t="s">
        <v>18</v>
      </c>
      <c r="B628" s="199" t="s">
        <v>49</v>
      </c>
      <c r="C628" s="199">
        <v>9990110200</v>
      </c>
      <c r="D628" s="199">
        <v>120</v>
      </c>
      <c r="E628" s="200" t="s">
        <v>443</v>
      </c>
      <c r="F628" s="28">
        <v>50.9</v>
      </c>
      <c r="G628" s="28">
        <v>50.9</v>
      </c>
    </row>
    <row r="629" spans="1:7" ht="49.5" customHeight="1">
      <c r="A629" s="199" t="s">
        <v>18</v>
      </c>
      <c r="B629" s="199" t="s">
        <v>49</v>
      </c>
      <c r="C629" s="199" t="s">
        <v>471</v>
      </c>
      <c r="D629" s="199"/>
      <c r="E629" s="200" t="s">
        <v>354</v>
      </c>
      <c r="F629" s="28">
        <f>F630</f>
        <v>5.0999999999999996</v>
      </c>
      <c r="G629" s="28">
        <f t="shared" ref="G629:G630" si="215">G630</f>
        <v>5.0999999999999996</v>
      </c>
    </row>
    <row r="630" spans="1:7" ht="63">
      <c r="A630" s="199" t="s">
        <v>18</v>
      </c>
      <c r="B630" s="199" t="s">
        <v>49</v>
      </c>
      <c r="C630" s="199" t="s">
        <v>471</v>
      </c>
      <c r="D630" s="201" t="s">
        <v>74</v>
      </c>
      <c r="E630" s="200" t="s">
        <v>2</v>
      </c>
      <c r="F630" s="28">
        <f>F631</f>
        <v>5.0999999999999996</v>
      </c>
      <c r="G630" s="28">
        <f t="shared" si="215"/>
        <v>5.0999999999999996</v>
      </c>
    </row>
    <row r="631" spans="1:7" ht="31.5">
      <c r="A631" s="199" t="s">
        <v>18</v>
      </c>
      <c r="B631" s="199" t="s">
        <v>49</v>
      </c>
      <c r="C631" s="199" t="s">
        <v>471</v>
      </c>
      <c r="D631" s="199">
        <v>120</v>
      </c>
      <c r="E631" s="200" t="s">
        <v>443</v>
      </c>
      <c r="F631" s="28">
        <v>5.0999999999999996</v>
      </c>
      <c r="G631" s="28">
        <v>5.0999999999999996</v>
      </c>
    </row>
    <row r="632" spans="1:7">
      <c r="A632" s="54" t="s">
        <v>18</v>
      </c>
      <c r="B632" s="54" t="s">
        <v>49</v>
      </c>
      <c r="C632" s="54">
        <v>9990122000</v>
      </c>
      <c r="D632" s="54"/>
      <c r="E632" s="55" t="s">
        <v>212</v>
      </c>
      <c r="F632" s="28">
        <f>F633</f>
        <v>854.49999999999989</v>
      </c>
      <c r="G632" s="28">
        <f t="shared" ref="G632:G633" si="216">G633</f>
        <v>854.5</v>
      </c>
    </row>
    <row r="633" spans="1:7" ht="63">
      <c r="A633" s="54" t="s">
        <v>18</v>
      </c>
      <c r="B633" s="54" t="s">
        <v>49</v>
      </c>
      <c r="C633" s="54">
        <v>9990122000</v>
      </c>
      <c r="D633" s="56" t="s">
        <v>74</v>
      </c>
      <c r="E633" s="55" t="s">
        <v>2</v>
      </c>
      <c r="F633" s="28">
        <f>F634</f>
        <v>854.49999999999989</v>
      </c>
      <c r="G633" s="28">
        <f t="shared" si="216"/>
        <v>854.5</v>
      </c>
    </row>
    <row r="634" spans="1:7" ht="34.15" customHeight="1">
      <c r="A634" s="54" t="s">
        <v>18</v>
      </c>
      <c r="B634" s="54" t="s">
        <v>49</v>
      </c>
      <c r="C634" s="54">
        <v>9990122000</v>
      </c>
      <c r="D634" s="54">
        <v>120</v>
      </c>
      <c r="E634" s="55" t="s">
        <v>443</v>
      </c>
      <c r="F634" s="28">
        <f>1208.6-354.1</f>
        <v>854.49999999999989</v>
      </c>
      <c r="G634" s="28">
        <v>854.5</v>
      </c>
    </row>
    <row r="635" spans="1:7" ht="31.5">
      <c r="A635" s="54" t="s">
        <v>18</v>
      </c>
      <c r="B635" s="54" t="s">
        <v>49</v>
      </c>
      <c r="C635" s="54">
        <v>9990123000</v>
      </c>
      <c r="D635" s="54"/>
      <c r="E635" s="55" t="s">
        <v>213</v>
      </c>
      <c r="F635" s="28">
        <f>F636+F638</f>
        <v>2704</v>
      </c>
      <c r="G635" s="28">
        <f>G636+G638</f>
        <v>2704</v>
      </c>
    </row>
    <row r="636" spans="1:7" ht="63">
      <c r="A636" s="54" t="s">
        <v>18</v>
      </c>
      <c r="B636" s="54" t="s">
        <v>49</v>
      </c>
      <c r="C636" s="54">
        <v>9990123000</v>
      </c>
      <c r="D636" s="54" t="s">
        <v>74</v>
      </c>
      <c r="E636" s="55" t="s">
        <v>2</v>
      </c>
      <c r="F636" s="28">
        <f>F637</f>
        <v>2181.7000000000003</v>
      </c>
      <c r="G636" s="28">
        <f t="shared" ref="G636" si="217">G637</f>
        <v>2181.6999999999998</v>
      </c>
    </row>
    <row r="637" spans="1:7" ht="33.6" customHeight="1">
      <c r="A637" s="54" t="s">
        <v>18</v>
      </c>
      <c r="B637" s="54" t="s">
        <v>49</v>
      </c>
      <c r="C637" s="54">
        <v>9990123000</v>
      </c>
      <c r="D637" s="54">
        <v>120</v>
      </c>
      <c r="E637" s="55" t="s">
        <v>443</v>
      </c>
      <c r="F637" s="28">
        <f>2069.9+4.5+92.4-5.1+20</f>
        <v>2181.7000000000003</v>
      </c>
      <c r="G637" s="28">
        <v>2181.6999999999998</v>
      </c>
    </row>
    <row r="638" spans="1:7" ht="32.25" customHeight="1">
      <c r="A638" s="54" t="s">
        <v>18</v>
      </c>
      <c r="B638" s="54" t="s">
        <v>49</v>
      </c>
      <c r="C638" s="54">
        <v>9990123000</v>
      </c>
      <c r="D638" s="103" t="s">
        <v>75</v>
      </c>
      <c r="E638" s="102" t="s">
        <v>107</v>
      </c>
      <c r="F638" s="28">
        <f>F639</f>
        <v>522.29999999999995</v>
      </c>
      <c r="G638" s="28">
        <f t="shared" ref="G638" si="218">G639</f>
        <v>522.29999999999995</v>
      </c>
    </row>
    <row r="639" spans="1:7" ht="33" customHeight="1">
      <c r="A639" s="54" t="s">
        <v>18</v>
      </c>
      <c r="B639" s="54" t="s">
        <v>49</v>
      </c>
      <c r="C639" s="54">
        <v>9990123000</v>
      </c>
      <c r="D639" s="101">
        <v>240</v>
      </c>
      <c r="E639" s="102" t="s">
        <v>441</v>
      </c>
      <c r="F639" s="28">
        <f>375+61.9+102.3+2.2-19.1</f>
        <v>522.29999999999995</v>
      </c>
      <c r="G639" s="28">
        <v>522.29999999999995</v>
      </c>
    </row>
    <row r="640" spans="1:7" ht="31.5">
      <c r="A640" s="19" t="s">
        <v>6</v>
      </c>
      <c r="B640" s="30" t="s">
        <v>72</v>
      </c>
      <c r="C640" s="30" t="s">
        <v>72</v>
      </c>
      <c r="D640" s="30" t="s">
        <v>72</v>
      </c>
      <c r="E640" s="32" t="s">
        <v>10</v>
      </c>
      <c r="F640" s="33">
        <f>F641+F662</f>
        <v>9954.9999999999982</v>
      </c>
      <c r="G640" s="33">
        <f t="shared" ref="G640" si="219">G641+G662</f>
        <v>9955</v>
      </c>
    </row>
    <row r="641" spans="1:7">
      <c r="A641" s="54" t="s">
        <v>6</v>
      </c>
      <c r="B641" s="54" t="s">
        <v>42</v>
      </c>
      <c r="C641" s="54" t="s">
        <v>72</v>
      </c>
      <c r="D641" s="54" t="s">
        <v>72</v>
      </c>
      <c r="E641" s="55" t="s">
        <v>34</v>
      </c>
      <c r="F641" s="28">
        <f>F642+F652</f>
        <v>4946.7</v>
      </c>
      <c r="G641" s="28">
        <f>G642+G652</f>
        <v>4946.7</v>
      </c>
    </row>
    <row r="642" spans="1:7">
      <c r="A642" s="54" t="s">
        <v>6</v>
      </c>
      <c r="B642" s="54" t="s">
        <v>100</v>
      </c>
      <c r="C642" s="54" t="s">
        <v>72</v>
      </c>
      <c r="D642" s="54" t="s">
        <v>72</v>
      </c>
      <c r="E642" s="55" t="s">
        <v>101</v>
      </c>
      <c r="F642" s="28">
        <f t="shared" ref="F642:G650" si="220">F643</f>
        <v>4912.3999999999996</v>
      </c>
      <c r="G642" s="28">
        <f t="shared" si="220"/>
        <v>4912.3999999999996</v>
      </c>
    </row>
    <row r="643" spans="1:7" ht="31.5" customHeight="1">
      <c r="A643" s="54" t="s">
        <v>6</v>
      </c>
      <c r="B643" s="54" t="s">
        <v>100</v>
      </c>
      <c r="C643" s="56">
        <v>1100000000</v>
      </c>
      <c r="D643" s="54"/>
      <c r="E643" s="55" t="s">
        <v>236</v>
      </c>
      <c r="F643" s="28">
        <f t="shared" si="220"/>
        <v>4912.3999999999996</v>
      </c>
      <c r="G643" s="28">
        <f t="shared" si="220"/>
        <v>4912.3999999999996</v>
      </c>
    </row>
    <row r="644" spans="1:7">
      <c r="A644" s="54" t="s">
        <v>6</v>
      </c>
      <c r="B644" s="54" t="s">
        <v>100</v>
      </c>
      <c r="C644" s="56">
        <v>1120000000</v>
      </c>
      <c r="D644" s="54"/>
      <c r="E644" s="55" t="s">
        <v>142</v>
      </c>
      <c r="F644" s="28">
        <f>F645</f>
        <v>4912.3999999999996</v>
      </c>
      <c r="G644" s="28">
        <f t="shared" si="220"/>
        <v>4912.3999999999996</v>
      </c>
    </row>
    <row r="645" spans="1:7" ht="47.25">
      <c r="A645" s="54" t="s">
        <v>6</v>
      </c>
      <c r="B645" s="54" t="s">
        <v>100</v>
      </c>
      <c r="C645" s="56">
        <v>1120100000</v>
      </c>
      <c r="D645" s="54"/>
      <c r="E645" s="55" t="s">
        <v>143</v>
      </c>
      <c r="F645" s="28">
        <f>F649+F646</f>
        <v>4912.3999999999996</v>
      </c>
      <c r="G645" s="28">
        <f t="shared" ref="G645" si="221">G649+G646</f>
        <v>4912.3999999999996</v>
      </c>
    </row>
    <row r="646" spans="1:7" ht="47.25">
      <c r="A646" s="54" t="s">
        <v>6</v>
      </c>
      <c r="B646" s="54" t="s">
        <v>100</v>
      </c>
      <c r="C646" s="54">
        <v>1120110690</v>
      </c>
      <c r="D646" s="54"/>
      <c r="E646" s="55" t="s">
        <v>303</v>
      </c>
      <c r="F646" s="28">
        <f>F647</f>
        <v>483.90000000000009</v>
      </c>
      <c r="G646" s="28">
        <f t="shared" ref="G646:G647" si="222">G647</f>
        <v>483.9</v>
      </c>
    </row>
    <row r="647" spans="1:7" ht="31.5">
      <c r="A647" s="54" t="s">
        <v>6</v>
      </c>
      <c r="B647" s="54" t="s">
        <v>100</v>
      </c>
      <c r="C647" s="54">
        <v>1120110690</v>
      </c>
      <c r="D647" s="56" t="s">
        <v>109</v>
      </c>
      <c r="E647" s="55" t="s">
        <v>110</v>
      </c>
      <c r="F647" s="28">
        <f>F648</f>
        <v>483.90000000000009</v>
      </c>
      <c r="G647" s="28">
        <f t="shared" si="222"/>
        <v>483.9</v>
      </c>
    </row>
    <row r="648" spans="1:7">
      <c r="A648" s="54" t="s">
        <v>6</v>
      </c>
      <c r="B648" s="54" t="s">
        <v>100</v>
      </c>
      <c r="C648" s="54">
        <v>1120110690</v>
      </c>
      <c r="D648" s="54">
        <v>610</v>
      </c>
      <c r="E648" s="55" t="s">
        <v>123</v>
      </c>
      <c r="F648" s="28">
        <f>1369.9-886</f>
        <v>483.90000000000009</v>
      </c>
      <c r="G648" s="28">
        <v>483.9</v>
      </c>
    </row>
    <row r="649" spans="1:7" ht="31.5">
      <c r="A649" s="54" t="s">
        <v>6</v>
      </c>
      <c r="B649" s="54" t="s">
        <v>100</v>
      </c>
      <c r="C649" s="56">
        <v>1120120010</v>
      </c>
      <c r="D649" s="54"/>
      <c r="E649" s="55" t="s">
        <v>144</v>
      </c>
      <c r="F649" s="28">
        <f t="shared" si="220"/>
        <v>4428.4999999999991</v>
      </c>
      <c r="G649" s="28">
        <f t="shared" si="220"/>
        <v>4428.5</v>
      </c>
    </row>
    <row r="650" spans="1:7" ht="31.5">
      <c r="A650" s="54" t="s">
        <v>6</v>
      </c>
      <c r="B650" s="54" t="s">
        <v>100</v>
      </c>
      <c r="C650" s="56">
        <v>1120120010</v>
      </c>
      <c r="D650" s="56" t="s">
        <v>109</v>
      </c>
      <c r="E650" s="55" t="s">
        <v>110</v>
      </c>
      <c r="F650" s="28">
        <f t="shared" si="220"/>
        <v>4428.4999999999991</v>
      </c>
      <c r="G650" s="28">
        <f t="shared" si="220"/>
        <v>4428.5</v>
      </c>
    </row>
    <row r="651" spans="1:7">
      <c r="A651" s="54" t="s">
        <v>6</v>
      </c>
      <c r="B651" s="54" t="s">
        <v>100</v>
      </c>
      <c r="C651" s="56">
        <v>1120120010</v>
      </c>
      <c r="D651" s="54">
        <v>610</v>
      </c>
      <c r="E651" s="55" t="s">
        <v>123</v>
      </c>
      <c r="F651" s="28">
        <f>12648.9-82.2+197.6-8298.6-37.2</f>
        <v>4428.4999999999991</v>
      </c>
      <c r="G651" s="28">
        <v>4428.5</v>
      </c>
    </row>
    <row r="652" spans="1:7">
      <c r="A652" s="54" t="s">
        <v>6</v>
      </c>
      <c r="B652" s="54" t="s">
        <v>43</v>
      </c>
      <c r="C652" s="54" t="s">
        <v>72</v>
      </c>
      <c r="D652" s="54" t="s">
        <v>72</v>
      </c>
      <c r="E652" s="55" t="s">
        <v>115</v>
      </c>
      <c r="F652" s="28">
        <f>F653</f>
        <v>34.299999999999997</v>
      </c>
      <c r="G652" s="28">
        <f t="shared" ref="G652" si="223">G653</f>
        <v>34.299999999999997</v>
      </c>
    </row>
    <row r="653" spans="1:7" ht="47.25">
      <c r="A653" s="54" t="s">
        <v>6</v>
      </c>
      <c r="B653" s="54" t="s">
        <v>43</v>
      </c>
      <c r="C653" s="56">
        <v>1200000000</v>
      </c>
      <c r="D653" s="54"/>
      <c r="E653" s="55" t="s">
        <v>231</v>
      </c>
      <c r="F653" s="28">
        <f>F654</f>
        <v>34.299999999999997</v>
      </c>
      <c r="G653" s="28">
        <f t="shared" ref="G653:G654" si="224">G654</f>
        <v>34.299999999999997</v>
      </c>
    </row>
    <row r="654" spans="1:7" ht="31.5">
      <c r="A654" s="54" t="s">
        <v>6</v>
      </c>
      <c r="B654" s="54" t="s">
        <v>43</v>
      </c>
      <c r="C654" s="56">
        <v>1240000000</v>
      </c>
      <c r="D654" s="11"/>
      <c r="E654" s="55" t="s">
        <v>162</v>
      </c>
      <c r="F654" s="28">
        <f>F655</f>
        <v>34.299999999999997</v>
      </c>
      <c r="G654" s="28">
        <f t="shared" si="224"/>
        <v>34.299999999999997</v>
      </c>
    </row>
    <row r="655" spans="1:7" ht="31.5">
      <c r="A655" s="54" t="s">
        <v>6</v>
      </c>
      <c r="B655" s="54" t="s">
        <v>43</v>
      </c>
      <c r="C655" s="11" t="s">
        <v>164</v>
      </c>
      <c r="D655" s="11"/>
      <c r="E655" s="55" t="s">
        <v>163</v>
      </c>
      <c r="F655" s="28">
        <f>F656+F659</f>
        <v>34.299999999999997</v>
      </c>
      <c r="G655" s="28">
        <f t="shared" ref="G655" si="225">G656+G659</f>
        <v>34.299999999999997</v>
      </c>
    </row>
    <row r="656" spans="1:7" ht="31.5">
      <c r="A656" s="3" t="s">
        <v>6</v>
      </c>
      <c r="B656" s="54" t="s">
        <v>43</v>
      </c>
      <c r="C656" s="11" t="s">
        <v>166</v>
      </c>
      <c r="D656" s="11"/>
      <c r="E656" s="55" t="s">
        <v>165</v>
      </c>
      <c r="F656" s="28">
        <f>F657</f>
        <v>22.3</v>
      </c>
      <c r="G656" s="28">
        <f t="shared" ref="G656:G657" si="226">G657</f>
        <v>22.3</v>
      </c>
    </row>
    <row r="657" spans="1:7" ht="31.5">
      <c r="A657" s="3" t="s">
        <v>6</v>
      </c>
      <c r="B657" s="54" t="s">
        <v>43</v>
      </c>
      <c r="C657" s="11" t="s">
        <v>166</v>
      </c>
      <c r="D657" s="56" t="s">
        <v>75</v>
      </c>
      <c r="E657" s="55" t="s">
        <v>107</v>
      </c>
      <c r="F657" s="28">
        <f>F658</f>
        <v>22.3</v>
      </c>
      <c r="G657" s="28">
        <f t="shared" si="226"/>
        <v>22.3</v>
      </c>
    </row>
    <row r="658" spans="1:7" ht="35.450000000000003" customHeight="1">
      <c r="A658" s="54" t="s">
        <v>6</v>
      </c>
      <c r="B658" s="54" t="s">
        <v>43</v>
      </c>
      <c r="C658" s="11" t="s">
        <v>166</v>
      </c>
      <c r="D658" s="54">
        <v>240</v>
      </c>
      <c r="E658" s="178" t="s">
        <v>441</v>
      </c>
      <c r="F658" s="28">
        <v>22.3</v>
      </c>
      <c r="G658" s="28">
        <v>22.3</v>
      </c>
    </row>
    <row r="659" spans="1:7">
      <c r="A659" s="54" t="s">
        <v>6</v>
      </c>
      <c r="B659" s="54" t="s">
        <v>43</v>
      </c>
      <c r="C659" s="11" t="s">
        <v>266</v>
      </c>
      <c r="D659" s="11"/>
      <c r="E659" s="55" t="s">
        <v>169</v>
      </c>
      <c r="F659" s="28">
        <f>F660</f>
        <v>12</v>
      </c>
      <c r="G659" s="28">
        <f t="shared" ref="G659:G660" si="227">G660</f>
        <v>12</v>
      </c>
    </row>
    <row r="660" spans="1:7">
      <c r="A660" s="54" t="s">
        <v>6</v>
      </c>
      <c r="B660" s="54" t="s">
        <v>43</v>
      </c>
      <c r="C660" s="11" t="s">
        <v>266</v>
      </c>
      <c r="D660" s="56" t="s">
        <v>79</v>
      </c>
      <c r="E660" s="55" t="s">
        <v>80</v>
      </c>
      <c r="F660" s="28">
        <f>F661</f>
        <v>12</v>
      </c>
      <c r="G660" s="28">
        <f t="shared" si="227"/>
        <v>12</v>
      </c>
    </row>
    <row r="661" spans="1:7">
      <c r="A661" s="3" t="s">
        <v>6</v>
      </c>
      <c r="B661" s="54" t="s">
        <v>43</v>
      </c>
      <c r="C661" s="11" t="s">
        <v>266</v>
      </c>
      <c r="D661" s="11" t="s">
        <v>170</v>
      </c>
      <c r="E661" s="55" t="s">
        <v>171</v>
      </c>
      <c r="F661" s="28">
        <f>36-24</f>
        <v>12</v>
      </c>
      <c r="G661" s="28">
        <v>12</v>
      </c>
    </row>
    <row r="662" spans="1:7">
      <c r="A662" s="54" t="s">
        <v>6</v>
      </c>
      <c r="B662" s="54" t="s">
        <v>67</v>
      </c>
      <c r="C662" s="66" t="s">
        <v>72</v>
      </c>
      <c r="D662" s="66" t="s">
        <v>72</v>
      </c>
      <c r="E662" s="67" t="s">
        <v>35</v>
      </c>
      <c r="F662" s="28">
        <f>F663+F690</f>
        <v>5008.2999999999984</v>
      </c>
      <c r="G662" s="28">
        <f>G663+G690</f>
        <v>5008.3</v>
      </c>
    </row>
    <row r="663" spans="1:7">
      <c r="A663" s="54" t="s">
        <v>6</v>
      </c>
      <c r="B663" s="54" t="s">
        <v>93</v>
      </c>
      <c r="C663" s="54" t="s">
        <v>72</v>
      </c>
      <c r="D663" s="54" t="s">
        <v>72</v>
      </c>
      <c r="E663" s="55" t="s">
        <v>68</v>
      </c>
      <c r="F663" s="28">
        <f>F664</f>
        <v>4218.4999999999982</v>
      </c>
      <c r="G663" s="28">
        <f t="shared" ref="G663:G664" si="228">G664</f>
        <v>4218.5</v>
      </c>
    </row>
    <row r="664" spans="1:7" ht="47.25">
      <c r="A664" s="54" t="s">
        <v>6</v>
      </c>
      <c r="B664" s="54" t="s">
        <v>93</v>
      </c>
      <c r="C664" s="56">
        <v>1200000000</v>
      </c>
      <c r="D664" s="54"/>
      <c r="E664" s="55" t="s">
        <v>231</v>
      </c>
      <c r="F664" s="28">
        <f>F665</f>
        <v>4218.4999999999982</v>
      </c>
      <c r="G664" s="28">
        <f t="shared" si="228"/>
        <v>4218.5</v>
      </c>
    </row>
    <row r="665" spans="1:7">
      <c r="A665" s="54" t="s">
        <v>6</v>
      </c>
      <c r="B665" s="54" t="s">
        <v>93</v>
      </c>
      <c r="C665" s="54">
        <v>1230000000</v>
      </c>
      <c r="D665" s="54"/>
      <c r="E665" s="55" t="s">
        <v>257</v>
      </c>
      <c r="F665" s="28">
        <f>F666+F670+F674</f>
        <v>4218.4999999999982</v>
      </c>
      <c r="G665" s="28">
        <f t="shared" ref="G665" si="229">G666+G670+G674</f>
        <v>4218.5</v>
      </c>
    </row>
    <row r="666" spans="1:7" ht="35.25" customHeight="1">
      <c r="A666" s="54" t="s">
        <v>6</v>
      </c>
      <c r="B666" s="54" t="s">
        <v>93</v>
      </c>
      <c r="C666" s="54">
        <v>1230100000</v>
      </c>
      <c r="D666" s="54"/>
      <c r="E666" s="55" t="s">
        <v>258</v>
      </c>
      <c r="F666" s="28">
        <f>F667</f>
        <v>3595.8999999999987</v>
      </c>
      <c r="G666" s="28">
        <f t="shared" ref="G666:G668" si="230">G667</f>
        <v>3595.9</v>
      </c>
    </row>
    <row r="667" spans="1:7" ht="31.5">
      <c r="A667" s="3" t="s">
        <v>6</v>
      </c>
      <c r="B667" s="3" t="s">
        <v>93</v>
      </c>
      <c r="C667" s="54">
        <v>1230120010</v>
      </c>
      <c r="D667" s="54"/>
      <c r="E667" s="55" t="s">
        <v>144</v>
      </c>
      <c r="F667" s="28">
        <f>F668</f>
        <v>3595.8999999999987</v>
      </c>
      <c r="G667" s="28">
        <f t="shared" si="230"/>
        <v>3595.9</v>
      </c>
    </row>
    <row r="668" spans="1:7" ht="31.5">
      <c r="A668" s="3" t="s">
        <v>6</v>
      </c>
      <c r="B668" s="3" t="s">
        <v>93</v>
      </c>
      <c r="C668" s="54">
        <v>1230120010</v>
      </c>
      <c r="D668" s="56" t="s">
        <v>109</v>
      </c>
      <c r="E668" s="55" t="s">
        <v>110</v>
      </c>
      <c r="F668" s="28">
        <f>F669</f>
        <v>3595.8999999999987</v>
      </c>
      <c r="G668" s="28">
        <f t="shared" si="230"/>
        <v>3595.9</v>
      </c>
    </row>
    <row r="669" spans="1:7">
      <c r="A669" s="54" t="s">
        <v>6</v>
      </c>
      <c r="B669" s="54" t="s">
        <v>93</v>
      </c>
      <c r="C669" s="54">
        <v>1230120010</v>
      </c>
      <c r="D669" s="54">
        <v>610</v>
      </c>
      <c r="E669" s="55" t="s">
        <v>123</v>
      </c>
      <c r="F669" s="28">
        <f>9941.9+346.4+211.9-6874.1-30.2</f>
        <v>3595.8999999999987</v>
      </c>
      <c r="G669" s="28">
        <v>3595.9</v>
      </c>
    </row>
    <row r="670" spans="1:7" ht="63">
      <c r="A670" s="54" t="s">
        <v>6</v>
      </c>
      <c r="B670" s="54" t="s">
        <v>93</v>
      </c>
      <c r="C670" s="54">
        <v>1230200000</v>
      </c>
      <c r="D670" s="54"/>
      <c r="E670" s="55" t="s">
        <v>259</v>
      </c>
      <c r="F670" s="28">
        <f>F671</f>
        <v>55.099999999999994</v>
      </c>
      <c r="G670" s="28">
        <f t="shared" ref="G670:G672" si="231">G671</f>
        <v>55.1</v>
      </c>
    </row>
    <row r="671" spans="1:7">
      <c r="A671" s="54" t="s">
        <v>6</v>
      </c>
      <c r="B671" s="54" t="s">
        <v>93</v>
      </c>
      <c r="C671" s="54">
        <v>1230220040</v>
      </c>
      <c r="D671" s="54"/>
      <c r="E671" s="55" t="s">
        <v>260</v>
      </c>
      <c r="F671" s="28">
        <f>F672</f>
        <v>55.099999999999994</v>
      </c>
      <c r="G671" s="28">
        <f t="shared" si="231"/>
        <v>55.1</v>
      </c>
    </row>
    <row r="672" spans="1:7" ht="31.5">
      <c r="A672" s="54" t="s">
        <v>6</v>
      </c>
      <c r="B672" s="54" t="s">
        <v>93</v>
      </c>
      <c r="C672" s="54">
        <v>1230220040</v>
      </c>
      <c r="D672" s="56" t="s">
        <v>109</v>
      </c>
      <c r="E672" s="55" t="s">
        <v>110</v>
      </c>
      <c r="F672" s="28">
        <f>F673</f>
        <v>55.099999999999994</v>
      </c>
      <c r="G672" s="28">
        <f t="shared" si="231"/>
        <v>55.1</v>
      </c>
    </row>
    <row r="673" spans="1:7">
      <c r="A673" s="54" t="s">
        <v>6</v>
      </c>
      <c r="B673" s="54" t="s">
        <v>93</v>
      </c>
      <c r="C673" s="54">
        <v>1230220040</v>
      </c>
      <c r="D673" s="54">
        <v>610</v>
      </c>
      <c r="E673" s="55" t="s">
        <v>123</v>
      </c>
      <c r="F673" s="28">
        <f>254.9-199.8</f>
        <v>55.099999999999994</v>
      </c>
      <c r="G673" s="28">
        <v>55.1</v>
      </c>
    </row>
    <row r="674" spans="1:7" ht="31.5">
      <c r="A674" s="54" t="s">
        <v>6</v>
      </c>
      <c r="B674" s="54" t="s">
        <v>93</v>
      </c>
      <c r="C674" s="54">
        <v>1230600000</v>
      </c>
      <c r="D674" s="54"/>
      <c r="E674" s="55" t="s">
        <v>261</v>
      </c>
      <c r="F674" s="28">
        <f>F675+F680+F683</f>
        <v>567.5</v>
      </c>
      <c r="G674" s="28">
        <f>G675+G680+G683</f>
        <v>567.5</v>
      </c>
    </row>
    <row r="675" spans="1:7" ht="31.5">
      <c r="A675" s="54" t="s">
        <v>6</v>
      </c>
      <c r="B675" s="54" t="s">
        <v>93</v>
      </c>
      <c r="C675" s="54">
        <v>1230620300</v>
      </c>
      <c r="D675" s="54"/>
      <c r="E675" s="55" t="s">
        <v>262</v>
      </c>
      <c r="F675" s="28">
        <f>F676+F678</f>
        <v>133.5</v>
      </c>
      <c r="G675" s="28">
        <f t="shared" ref="G675" si="232">G676+G678</f>
        <v>133.5</v>
      </c>
    </row>
    <row r="676" spans="1:7" ht="63">
      <c r="A676" s="54" t="s">
        <v>6</v>
      </c>
      <c r="B676" s="54" t="s">
        <v>93</v>
      </c>
      <c r="C676" s="54">
        <v>1230620300</v>
      </c>
      <c r="D676" s="56" t="s">
        <v>74</v>
      </c>
      <c r="E676" s="55" t="s">
        <v>2</v>
      </c>
      <c r="F676" s="28">
        <f>F677</f>
        <v>55.100000000000009</v>
      </c>
      <c r="G676" s="28">
        <f t="shared" ref="G676" si="233">G677</f>
        <v>55.1</v>
      </c>
    </row>
    <row r="677" spans="1:7" ht="30.6" customHeight="1">
      <c r="A677" s="54" t="s">
        <v>6</v>
      </c>
      <c r="B677" s="54" t="s">
        <v>93</v>
      </c>
      <c r="C677" s="54">
        <v>1230620300</v>
      </c>
      <c r="D677" s="54">
        <v>120</v>
      </c>
      <c r="E677" s="178" t="s">
        <v>443</v>
      </c>
      <c r="F677" s="28">
        <f>141.3-86.2</f>
        <v>55.100000000000009</v>
      </c>
      <c r="G677" s="28">
        <v>55.1</v>
      </c>
    </row>
    <row r="678" spans="1:7" ht="31.5">
      <c r="A678" s="54" t="s">
        <v>6</v>
      </c>
      <c r="B678" s="54" t="s">
        <v>93</v>
      </c>
      <c r="C678" s="54">
        <v>1230620300</v>
      </c>
      <c r="D678" s="56" t="s">
        <v>75</v>
      </c>
      <c r="E678" s="55" t="s">
        <v>107</v>
      </c>
      <c r="F678" s="28">
        <f>F679</f>
        <v>78.399999999999991</v>
      </c>
      <c r="G678" s="28">
        <f t="shared" ref="G678" si="234">G679</f>
        <v>78.400000000000006</v>
      </c>
    </row>
    <row r="679" spans="1:7" ht="29.45" customHeight="1">
      <c r="A679" s="54" t="s">
        <v>6</v>
      </c>
      <c r="B679" s="54" t="s">
        <v>93</v>
      </c>
      <c r="C679" s="54">
        <v>1230620300</v>
      </c>
      <c r="D679" s="54">
        <v>240</v>
      </c>
      <c r="E679" s="178" t="s">
        <v>441</v>
      </c>
      <c r="F679" s="28">
        <f>194.2-115.8</f>
        <v>78.399999999999991</v>
      </c>
      <c r="G679" s="28">
        <v>78.400000000000006</v>
      </c>
    </row>
    <row r="680" spans="1:7" ht="31.5">
      <c r="A680" s="54" t="s">
        <v>6</v>
      </c>
      <c r="B680" s="54" t="s">
        <v>93</v>
      </c>
      <c r="C680" s="54">
        <v>1230620310</v>
      </c>
      <c r="D680" s="54"/>
      <c r="E680" s="55" t="s">
        <v>263</v>
      </c>
      <c r="F680" s="28">
        <f>F681</f>
        <v>31.4</v>
      </c>
      <c r="G680" s="28">
        <f t="shared" ref="G680:G681" si="235">G681</f>
        <v>31.4</v>
      </c>
    </row>
    <row r="681" spans="1:7" ht="31.5">
      <c r="A681" s="54" t="s">
        <v>6</v>
      </c>
      <c r="B681" s="54" t="s">
        <v>93</v>
      </c>
      <c r="C681" s="54">
        <v>1230620310</v>
      </c>
      <c r="D681" s="56" t="s">
        <v>75</v>
      </c>
      <c r="E681" s="55" t="s">
        <v>107</v>
      </c>
      <c r="F681" s="28">
        <f>F682</f>
        <v>31.4</v>
      </c>
      <c r="G681" s="28">
        <f t="shared" si="235"/>
        <v>31.4</v>
      </c>
    </row>
    <row r="682" spans="1:7" ht="32.450000000000003" customHeight="1">
      <c r="A682" s="54" t="s">
        <v>6</v>
      </c>
      <c r="B682" s="54" t="s">
        <v>93</v>
      </c>
      <c r="C682" s="54">
        <v>1230620310</v>
      </c>
      <c r="D682" s="54">
        <v>240</v>
      </c>
      <c r="E682" s="178" t="s">
        <v>441</v>
      </c>
      <c r="F682" s="28">
        <f>55.3-23.9</f>
        <v>31.4</v>
      </c>
      <c r="G682" s="28">
        <v>31.4</v>
      </c>
    </row>
    <row r="683" spans="1:7">
      <c r="A683" s="54" t="s">
        <v>6</v>
      </c>
      <c r="B683" s="54" t="s">
        <v>93</v>
      </c>
      <c r="C683" s="54">
        <v>1230620320</v>
      </c>
      <c r="D683" s="54"/>
      <c r="E683" s="55" t="s">
        <v>176</v>
      </c>
      <c r="F683" s="28">
        <f>F684+F686+F688</f>
        <v>402.6</v>
      </c>
      <c r="G683" s="28">
        <f t="shared" ref="G683" si="236">G684+G686+G688</f>
        <v>402.6</v>
      </c>
    </row>
    <row r="684" spans="1:7" ht="63">
      <c r="A684" s="54" t="s">
        <v>6</v>
      </c>
      <c r="B684" s="54" t="s">
        <v>93</v>
      </c>
      <c r="C684" s="54">
        <v>1230620320</v>
      </c>
      <c r="D684" s="56" t="s">
        <v>74</v>
      </c>
      <c r="E684" s="55" t="s">
        <v>2</v>
      </c>
      <c r="F684" s="28">
        <f>F685</f>
        <v>176.40000000000003</v>
      </c>
      <c r="G684" s="28">
        <f t="shared" ref="G684" si="237">G685</f>
        <v>176.4</v>
      </c>
    </row>
    <row r="685" spans="1:7" ht="31.15" customHeight="1">
      <c r="A685" s="54" t="s">
        <v>6</v>
      </c>
      <c r="B685" s="54" t="s">
        <v>93</v>
      </c>
      <c r="C685" s="54">
        <v>1230620320</v>
      </c>
      <c r="D685" s="54">
        <v>120</v>
      </c>
      <c r="E685" s="55" t="s">
        <v>443</v>
      </c>
      <c r="F685" s="28">
        <f>382.1-205.7</f>
        <v>176.40000000000003</v>
      </c>
      <c r="G685" s="28">
        <v>176.4</v>
      </c>
    </row>
    <row r="686" spans="1:7" ht="31.5">
      <c r="A686" s="54" t="s">
        <v>6</v>
      </c>
      <c r="B686" s="54" t="s">
        <v>93</v>
      </c>
      <c r="C686" s="54">
        <v>1230620320</v>
      </c>
      <c r="D686" s="56" t="s">
        <v>75</v>
      </c>
      <c r="E686" s="55" t="s">
        <v>107</v>
      </c>
      <c r="F686" s="28">
        <f>F687</f>
        <v>102.79999999999998</v>
      </c>
      <c r="G686" s="28">
        <f t="shared" ref="G686" si="238">G687</f>
        <v>102.8</v>
      </c>
    </row>
    <row r="687" spans="1:7" ht="29.45" customHeight="1">
      <c r="A687" s="54" t="s">
        <v>6</v>
      </c>
      <c r="B687" s="54" t="s">
        <v>93</v>
      </c>
      <c r="C687" s="54">
        <v>1230620320</v>
      </c>
      <c r="D687" s="54">
        <v>240</v>
      </c>
      <c r="E687" s="55" t="s">
        <v>441</v>
      </c>
      <c r="F687" s="28">
        <f>240.2-137.4</f>
        <v>102.79999999999998</v>
      </c>
      <c r="G687" s="28">
        <v>102.8</v>
      </c>
    </row>
    <row r="688" spans="1:7" ht="31.5">
      <c r="A688" s="54" t="s">
        <v>6</v>
      </c>
      <c r="B688" s="54" t="s">
        <v>93</v>
      </c>
      <c r="C688" s="54">
        <v>1230620320</v>
      </c>
      <c r="D688" s="56" t="s">
        <v>109</v>
      </c>
      <c r="E688" s="55" t="s">
        <v>110</v>
      </c>
      <c r="F688" s="28">
        <f>F689</f>
        <v>123.4</v>
      </c>
      <c r="G688" s="28">
        <f t="shared" ref="G688" si="239">G689</f>
        <v>123.4</v>
      </c>
    </row>
    <row r="689" spans="1:7">
      <c r="A689" s="54" t="s">
        <v>6</v>
      </c>
      <c r="B689" s="54" t="s">
        <v>93</v>
      </c>
      <c r="C689" s="54">
        <v>1230620320</v>
      </c>
      <c r="D689" s="54">
        <v>610</v>
      </c>
      <c r="E689" s="55" t="s">
        <v>123</v>
      </c>
      <c r="F689" s="28">
        <f>144-20.6</f>
        <v>123.4</v>
      </c>
      <c r="G689" s="28">
        <v>123.4</v>
      </c>
    </row>
    <row r="690" spans="1:7">
      <c r="A690" s="54" t="s">
        <v>6</v>
      </c>
      <c r="B690" s="54" t="s">
        <v>94</v>
      </c>
      <c r="C690" s="54" t="s">
        <v>72</v>
      </c>
      <c r="D690" s="54" t="s">
        <v>72</v>
      </c>
      <c r="E690" s="55" t="s">
        <v>0</v>
      </c>
      <c r="F690" s="28">
        <f>F691</f>
        <v>789.8</v>
      </c>
      <c r="G690" s="28">
        <f t="shared" ref="G690:G693" si="240">G691</f>
        <v>789.8</v>
      </c>
    </row>
    <row r="691" spans="1:7">
      <c r="A691" s="54" t="s">
        <v>6</v>
      </c>
      <c r="B691" s="54" t="s">
        <v>94</v>
      </c>
      <c r="C691" s="56" t="s">
        <v>129</v>
      </c>
      <c r="D691" s="56" t="s">
        <v>72</v>
      </c>
      <c r="E691" s="55" t="s">
        <v>124</v>
      </c>
      <c r="F691" s="28">
        <f>F692</f>
        <v>789.8</v>
      </c>
      <c r="G691" s="28">
        <f t="shared" si="240"/>
        <v>789.8</v>
      </c>
    </row>
    <row r="692" spans="1:7" ht="31.5">
      <c r="A692" s="54" t="s">
        <v>6</v>
      </c>
      <c r="B692" s="54" t="s">
        <v>94</v>
      </c>
      <c r="C692" s="54">
        <v>9990000000</v>
      </c>
      <c r="D692" s="54"/>
      <c r="E692" s="55" t="s">
        <v>189</v>
      </c>
      <c r="F692" s="28">
        <f>F693</f>
        <v>789.8</v>
      </c>
      <c r="G692" s="28">
        <f t="shared" si="240"/>
        <v>789.8</v>
      </c>
    </row>
    <row r="693" spans="1:7" ht="31.5">
      <c r="A693" s="54" t="s">
        <v>6</v>
      </c>
      <c r="B693" s="54" t="s">
        <v>94</v>
      </c>
      <c r="C693" s="54">
        <v>9990200000</v>
      </c>
      <c r="D693" s="30"/>
      <c r="E693" s="55" t="s">
        <v>138</v>
      </c>
      <c r="F693" s="28">
        <f>F694</f>
        <v>789.8</v>
      </c>
      <c r="G693" s="28">
        <f t="shared" si="240"/>
        <v>789.8</v>
      </c>
    </row>
    <row r="694" spans="1:7" ht="47.25">
      <c r="A694" s="54" t="s">
        <v>6</v>
      </c>
      <c r="B694" s="54" t="s">
        <v>94</v>
      </c>
      <c r="C694" s="54">
        <v>9990225000</v>
      </c>
      <c r="D694" s="54"/>
      <c r="E694" s="55" t="s">
        <v>139</v>
      </c>
      <c r="F694" s="28">
        <f>F695+F697</f>
        <v>789.8</v>
      </c>
      <c r="G694" s="28">
        <f t="shared" ref="G694" si="241">G695+G697</f>
        <v>789.8</v>
      </c>
    </row>
    <row r="695" spans="1:7" ht="63">
      <c r="A695" s="54" t="s">
        <v>6</v>
      </c>
      <c r="B695" s="54" t="s">
        <v>94</v>
      </c>
      <c r="C695" s="54">
        <v>9990225000</v>
      </c>
      <c r="D695" s="56" t="s">
        <v>74</v>
      </c>
      <c r="E695" s="55" t="s">
        <v>2</v>
      </c>
      <c r="F695" s="28">
        <f>F696</f>
        <v>732.4</v>
      </c>
      <c r="G695" s="28">
        <f t="shared" ref="G695" si="242">G696</f>
        <v>732.4</v>
      </c>
    </row>
    <row r="696" spans="1:7" ht="33" customHeight="1">
      <c r="A696" s="54" t="s">
        <v>6</v>
      </c>
      <c r="B696" s="54" t="s">
        <v>94</v>
      </c>
      <c r="C696" s="54">
        <v>9990225000</v>
      </c>
      <c r="D696" s="54">
        <v>120</v>
      </c>
      <c r="E696" s="55" t="s">
        <v>443</v>
      </c>
      <c r="F696" s="28">
        <f>525.5+282.9-76</f>
        <v>732.4</v>
      </c>
      <c r="G696" s="28">
        <v>732.4</v>
      </c>
    </row>
    <row r="697" spans="1:7" ht="31.5">
      <c r="A697" s="54" t="s">
        <v>6</v>
      </c>
      <c r="B697" s="54" t="s">
        <v>94</v>
      </c>
      <c r="C697" s="54">
        <v>9990225000</v>
      </c>
      <c r="D697" s="56" t="s">
        <v>75</v>
      </c>
      <c r="E697" s="55" t="s">
        <v>107</v>
      </c>
      <c r="F697" s="28">
        <f>F698</f>
        <v>57.4</v>
      </c>
      <c r="G697" s="28">
        <f t="shared" ref="G697" si="243">G698</f>
        <v>57.4</v>
      </c>
    </row>
    <row r="698" spans="1:7" ht="33" customHeight="1">
      <c r="A698" s="54" t="s">
        <v>6</v>
      </c>
      <c r="B698" s="54" t="s">
        <v>94</v>
      </c>
      <c r="C698" s="54">
        <v>9990225000</v>
      </c>
      <c r="D698" s="54">
        <v>240</v>
      </c>
      <c r="E698" s="55" t="s">
        <v>441</v>
      </c>
      <c r="F698" s="28">
        <f>45+15.1-2.7</f>
        <v>57.4</v>
      </c>
      <c r="G698" s="28">
        <v>57.4</v>
      </c>
    </row>
    <row r="699" spans="1:7" ht="31.5">
      <c r="A699" s="19" t="s">
        <v>13</v>
      </c>
      <c r="B699" s="30" t="s">
        <v>72</v>
      </c>
      <c r="C699" s="30" t="s">
        <v>72</v>
      </c>
      <c r="D699" s="30" t="s">
        <v>72</v>
      </c>
      <c r="E699" s="57" t="s">
        <v>295</v>
      </c>
      <c r="F699" s="33">
        <f>F708+F716+F876+F700</f>
        <v>466384.39999999997</v>
      </c>
      <c r="G699" s="33">
        <f>G708+G716+G876+G700</f>
        <v>466301.50000000006</v>
      </c>
    </row>
    <row r="700" spans="1:7">
      <c r="A700" s="54" t="s">
        <v>13</v>
      </c>
      <c r="B700" s="54" t="s">
        <v>60</v>
      </c>
      <c r="C700" s="54" t="s">
        <v>72</v>
      </c>
      <c r="D700" s="54" t="s">
        <v>72</v>
      </c>
      <c r="E700" s="16" t="s">
        <v>25</v>
      </c>
      <c r="F700" s="28">
        <f t="shared" ref="F700:F706" si="244">F701</f>
        <v>16.2</v>
      </c>
      <c r="G700" s="28">
        <f t="shared" ref="G700:G703" si="245">G701</f>
        <v>16.2</v>
      </c>
    </row>
    <row r="701" spans="1:7">
      <c r="A701" s="54" t="s">
        <v>13</v>
      </c>
      <c r="B701" s="54" t="s">
        <v>66</v>
      </c>
      <c r="C701" s="54"/>
      <c r="D701" s="54"/>
      <c r="E701" s="55" t="s">
        <v>28</v>
      </c>
      <c r="F701" s="28">
        <f t="shared" si="244"/>
        <v>16.2</v>
      </c>
      <c r="G701" s="28">
        <f t="shared" si="245"/>
        <v>16.2</v>
      </c>
    </row>
    <row r="702" spans="1:7" ht="47.25">
      <c r="A702" s="54" t="s">
        <v>13</v>
      </c>
      <c r="B702" s="56" t="s">
        <v>66</v>
      </c>
      <c r="C702" s="56">
        <v>1600000000</v>
      </c>
      <c r="D702" s="56"/>
      <c r="E702" s="55" t="s">
        <v>133</v>
      </c>
      <c r="F702" s="28">
        <f t="shared" si="244"/>
        <v>16.2</v>
      </c>
      <c r="G702" s="28">
        <f t="shared" si="245"/>
        <v>16.2</v>
      </c>
    </row>
    <row r="703" spans="1:7" ht="47.25">
      <c r="A703" s="54" t="s">
        <v>13</v>
      </c>
      <c r="B703" s="54" t="s">
        <v>66</v>
      </c>
      <c r="C703" s="56">
        <v>1630000000</v>
      </c>
      <c r="D703" s="54"/>
      <c r="E703" s="55" t="s">
        <v>274</v>
      </c>
      <c r="F703" s="28">
        <f t="shared" si="244"/>
        <v>16.2</v>
      </c>
      <c r="G703" s="28">
        <f t="shared" si="245"/>
        <v>16.2</v>
      </c>
    </row>
    <row r="704" spans="1:7" ht="47.25">
      <c r="A704" s="54" t="s">
        <v>13</v>
      </c>
      <c r="B704" s="56" t="s">
        <v>66</v>
      </c>
      <c r="C704" s="54">
        <v>1630100000</v>
      </c>
      <c r="D704" s="54"/>
      <c r="E704" s="55" t="s">
        <v>275</v>
      </c>
      <c r="F704" s="28">
        <f t="shared" si="244"/>
        <v>16.2</v>
      </c>
      <c r="G704" s="28">
        <f t="shared" ref="G704:G706" si="246">G705</f>
        <v>16.2</v>
      </c>
    </row>
    <row r="705" spans="1:7" ht="47.25">
      <c r="A705" s="3" t="s">
        <v>13</v>
      </c>
      <c r="B705" s="54" t="s">
        <v>66</v>
      </c>
      <c r="C705" s="54">
        <v>1630120180</v>
      </c>
      <c r="D705" s="54"/>
      <c r="E705" s="55" t="s">
        <v>276</v>
      </c>
      <c r="F705" s="28">
        <f t="shared" si="244"/>
        <v>16.2</v>
      </c>
      <c r="G705" s="28">
        <f t="shared" si="246"/>
        <v>16.2</v>
      </c>
    </row>
    <row r="706" spans="1:7" ht="31.5">
      <c r="A706" s="3" t="s">
        <v>13</v>
      </c>
      <c r="B706" s="56" t="s">
        <v>66</v>
      </c>
      <c r="C706" s="54">
        <v>1630120180</v>
      </c>
      <c r="D706" s="54" t="s">
        <v>75</v>
      </c>
      <c r="E706" s="55" t="s">
        <v>107</v>
      </c>
      <c r="F706" s="28">
        <f t="shared" si="244"/>
        <v>16.2</v>
      </c>
      <c r="G706" s="28">
        <f t="shared" si="246"/>
        <v>16.2</v>
      </c>
    </row>
    <row r="707" spans="1:7" ht="36" customHeight="1">
      <c r="A707" s="54" t="s">
        <v>13</v>
      </c>
      <c r="B707" s="56" t="s">
        <v>66</v>
      </c>
      <c r="C707" s="54">
        <v>1630120180</v>
      </c>
      <c r="D707" s="54">
        <v>240</v>
      </c>
      <c r="E707" s="55" t="s">
        <v>441</v>
      </c>
      <c r="F707" s="28">
        <f>21-4.8</f>
        <v>16.2</v>
      </c>
      <c r="G707" s="28">
        <v>16.2</v>
      </c>
    </row>
    <row r="708" spans="1:7">
      <c r="A708" s="54" t="s">
        <v>13</v>
      </c>
      <c r="B708" s="54" t="s">
        <v>62</v>
      </c>
      <c r="C708" s="54" t="s">
        <v>72</v>
      </c>
      <c r="D708" s="54" t="s">
        <v>72</v>
      </c>
      <c r="E708" s="9" t="s">
        <v>30</v>
      </c>
      <c r="F708" s="28">
        <f t="shared" ref="F708:G714" si="247">F709</f>
        <v>111.49999999999999</v>
      </c>
      <c r="G708" s="28">
        <f t="shared" si="247"/>
        <v>111.5</v>
      </c>
    </row>
    <row r="709" spans="1:7">
      <c r="A709" s="54" t="s">
        <v>13</v>
      </c>
      <c r="B709" s="24" t="s">
        <v>116</v>
      </c>
      <c r="C709" s="30"/>
      <c r="D709" s="30"/>
      <c r="E709" s="55" t="s">
        <v>117</v>
      </c>
      <c r="F709" s="28">
        <f t="shared" si="247"/>
        <v>111.49999999999999</v>
      </c>
      <c r="G709" s="28">
        <f t="shared" si="247"/>
        <v>111.5</v>
      </c>
    </row>
    <row r="710" spans="1:7" ht="34.5" customHeight="1">
      <c r="A710" s="54" t="s">
        <v>13</v>
      </c>
      <c r="B710" s="24" t="s">
        <v>116</v>
      </c>
      <c r="C710" s="56">
        <v>1100000000</v>
      </c>
      <c r="D710" s="30"/>
      <c r="E710" s="55" t="s">
        <v>236</v>
      </c>
      <c r="F710" s="28">
        <f t="shared" si="247"/>
        <v>111.49999999999999</v>
      </c>
      <c r="G710" s="28">
        <f t="shared" si="247"/>
        <v>111.5</v>
      </c>
    </row>
    <row r="711" spans="1:7" ht="31.5">
      <c r="A711" s="54" t="s">
        <v>13</v>
      </c>
      <c r="B711" s="24" t="s">
        <v>116</v>
      </c>
      <c r="C711" s="56">
        <v>1130000000</v>
      </c>
      <c r="D711" s="30"/>
      <c r="E711" s="55" t="s">
        <v>135</v>
      </c>
      <c r="F711" s="28">
        <f t="shared" si="247"/>
        <v>111.49999999999999</v>
      </c>
      <c r="G711" s="28">
        <f t="shared" si="247"/>
        <v>111.5</v>
      </c>
    </row>
    <row r="712" spans="1:7" ht="47.25">
      <c r="A712" s="54" t="s">
        <v>13</v>
      </c>
      <c r="B712" s="24" t="s">
        <v>116</v>
      </c>
      <c r="C712" s="56">
        <v>1130300000</v>
      </c>
      <c r="D712" s="30"/>
      <c r="E712" s="55" t="s">
        <v>136</v>
      </c>
      <c r="F712" s="28">
        <f t="shared" si="247"/>
        <v>111.49999999999999</v>
      </c>
      <c r="G712" s="28">
        <f t="shared" si="247"/>
        <v>111.5</v>
      </c>
    </row>
    <row r="713" spans="1:7" ht="31.5">
      <c r="A713" s="3" t="s">
        <v>13</v>
      </c>
      <c r="B713" s="24" t="s">
        <v>116</v>
      </c>
      <c r="C713" s="56">
        <v>1130320280</v>
      </c>
      <c r="D713" s="30"/>
      <c r="E713" s="89" t="s">
        <v>137</v>
      </c>
      <c r="F713" s="28">
        <f t="shared" si="247"/>
        <v>111.49999999999999</v>
      </c>
      <c r="G713" s="28">
        <f t="shared" si="247"/>
        <v>111.5</v>
      </c>
    </row>
    <row r="714" spans="1:7" ht="31.5">
      <c r="A714" s="3" t="s">
        <v>13</v>
      </c>
      <c r="B714" s="24" t="s">
        <v>116</v>
      </c>
      <c r="C714" s="56">
        <v>1130320280</v>
      </c>
      <c r="D714" s="56" t="s">
        <v>109</v>
      </c>
      <c r="E714" s="55" t="s">
        <v>110</v>
      </c>
      <c r="F714" s="28">
        <f t="shared" si="247"/>
        <v>111.49999999999999</v>
      </c>
      <c r="G714" s="28">
        <f t="shared" si="247"/>
        <v>111.5</v>
      </c>
    </row>
    <row r="715" spans="1:7">
      <c r="A715" s="54" t="s">
        <v>13</v>
      </c>
      <c r="B715" s="24" t="s">
        <v>116</v>
      </c>
      <c r="C715" s="56">
        <v>1130320280</v>
      </c>
      <c r="D715" s="54">
        <v>610</v>
      </c>
      <c r="E715" s="55" t="s">
        <v>123</v>
      </c>
      <c r="F715" s="28">
        <f>112.3-0.4-0.4</f>
        <v>111.49999999999999</v>
      </c>
      <c r="G715" s="28">
        <v>111.5</v>
      </c>
    </row>
    <row r="716" spans="1:7">
      <c r="A716" s="54" t="s">
        <v>13</v>
      </c>
      <c r="B716" s="54" t="s">
        <v>42</v>
      </c>
      <c r="C716" s="54" t="s">
        <v>72</v>
      </c>
      <c r="D716" s="54" t="s">
        <v>72</v>
      </c>
      <c r="E716" s="55" t="s">
        <v>34</v>
      </c>
      <c r="F716" s="28">
        <f>F717+F743+F811+F836+F848</f>
        <v>455808.1</v>
      </c>
      <c r="G716" s="28">
        <f>G717+G743+G811+G836+G848</f>
        <v>455725.20000000007</v>
      </c>
    </row>
    <row r="717" spans="1:7">
      <c r="A717" s="54" t="s">
        <v>13</v>
      </c>
      <c r="B717" s="54" t="s">
        <v>56</v>
      </c>
      <c r="C717" s="54" t="s">
        <v>72</v>
      </c>
      <c r="D717" s="54" t="s">
        <v>72</v>
      </c>
      <c r="E717" s="55" t="s">
        <v>14</v>
      </c>
      <c r="F717" s="28">
        <f>F718+F737</f>
        <v>186741.30000000002</v>
      </c>
      <c r="G717" s="28">
        <f>G718+G737</f>
        <v>186741.30000000002</v>
      </c>
    </row>
    <row r="718" spans="1:7" ht="34.5" customHeight="1">
      <c r="A718" s="54" t="s">
        <v>13</v>
      </c>
      <c r="B718" s="54" t="s">
        <v>56</v>
      </c>
      <c r="C718" s="56">
        <v>1100000000</v>
      </c>
      <c r="D718" s="54"/>
      <c r="E718" s="55" t="s">
        <v>236</v>
      </c>
      <c r="F718" s="28">
        <f>F719</f>
        <v>186087.80000000002</v>
      </c>
      <c r="G718" s="28">
        <f t="shared" ref="G718" si="248">G719</f>
        <v>186087.80000000002</v>
      </c>
    </row>
    <row r="719" spans="1:7">
      <c r="A719" s="54" t="s">
        <v>13</v>
      </c>
      <c r="B719" s="54" t="s">
        <v>56</v>
      </c>
      <c r="C719" s="54">
        <v>1110000000</v>
      </c>
      <c r="D719" s="54"/>
      <c r="E719" s="55" t="s">
        <v>214</v>
      </c>
      <c r="F719" s="28">
        <f>F720+F733</f>
        <v>186087.80000000002</v>
      </c>
      <c r="G719" s="28">
        <f t="shared" ref="G719" si="249">G720+G733</f>
        <v>186087.80000000002</v>
      </c>
    </row>
    <row r="720" spans="1:7" ht="47.25">
      <c r="A720" s="54" t="s">
        <v>13</v>
      </c>
      <c r="B720" s="54" t="s">
        <v>56</v>
      </c>
      <c r="C720" s="54">
        <v>1110100000</v>
      </c>
      <c r="D720" s="30"/>
      <c r="E720" s="55" t="s">
        <v>215</v>
      </c>
      <c r="F720" s="28">
        <f>F727+F724+F721+F730</f>
        <v>185646.1</v>
      </c>
      <c r="G720" s="28">
        <f t="shared" ref="G720" si="250">G727+G724+G721+G730</f>
        <v>185646.1</v>
      </c>
    </row>
    <row r="721" spans="1:7" ht="51" customHeight="1">
      <c r="A721" s="3" t="s">
        <v>13</v>
      </c>
      <c r="B721" s="3" t="s">
        <v>56</v>
      </c>
      <c r="C721" s="11" t="s">
        <v>348</v>
      </c>
      <c r="D721" s="13"/>
      <c r="E721" s="9" t="s">
        <v>349</v>
      </c>
      <c r="F721" s="28">
        <f>F722</f>
        <v>14968.699999999999</v>
      </c>
      <c r="G721" s="28">
        <f t="shared" ref="G721:G722" si="251">G722</f>
        <v>14968.7</v>
      </c>
    </row>
    <row r="722" spans="1:7" ht="31.5">
      <c r="A722" s="3" t="s">
        <v>13</v>
      </c>
      <c r="B722" s="3" t="s">
        <v>56</v>
      </c>
      <c r="C722" s="11" t="s">
        <v>348</v>
      </c>
      <c r="D722" s="83" t="s">
        <v>109</v>
      </c>
      <c r="E722" s="82" t="s">
        <v>110</v>
      </c>
      <c r="F722" s="28">
        <f>F723</f>
        <v>14968.699999999999</v>
      </c>
      <c r="G722" s="28">
        <f t="shared" si="251"/>
        <v>14968.7</v>
      </c>
    </row>
    <row r="723" spans="1:7">
      <c r="A723" s="81" t="s">
        <v>13</v>
      </c>
      <c r="B723" s="3" t="s">
        <v>56</v>
      </c>
      <c r="C723" s="11" t="s">
        <v>348</v>
      </c>
      <c r="D723" s="81">
        <v>610</v>
      </c>
      <c r="E723" s="82" t="s">
        <v>123</v>
      </c>
      <c r="F723" s="28">
        <f>7674.5+598.3+6695.9</f>
        <v>14968.699999999999</v>
      </c>
      <c r="G723" s="28">
        <v>14968.7</v>
      </c>
    </row>
    <row r="724" spans="1:7" ht="63">
      <c r="A724" s="3" t="s">
        <v>13</v>
      </c>
      <c r="B724" s="3" t="s">
        <v>56</v>
      </c>
      <c r="C724" s="11" t="s">
        <v>217</v>
      </c>
      <c r="D724" s="13"/>
      <c r="E724" s="9" t="s">
        <v>122</v>
      </c>
      <c r="F724" s="28">
        <f>F725</f>
        <v>97137.3</v>
      </c>
      <c r="G724" s="28">
        <f t="shared" ref="G724:G725" si="252">G725</f>
        <v>97137.3</v>
      </c>
    </row>
    <row r="725" spans="1:7" ht="31.5">
      <c r="A725" s="3" t="s">
        <v>13</v>
      </c>
      <c r="B725" s="3" t="s">
        <v>56</v>
      </c>
      <c r="C725" s="11" t="s">
        <v>217</v>
      </c>
      <c r="D725" s="56" t="s">
        <v>109</v>
      </c>
      <c r="E725" s="55" t="s">
        <v>110</v>
      </c>
      <c r="F725" s="28">
        <f>F726</f>
        <v>97137.3</v>
      </c>
      <c r="G725" s="28">
        <f t="shared" si="252"/>
        <v>97137.3</v>
      </c>
    </row>
    <row r="726" spans="1:7">
      <c r="A726" s="54" t="s">
        <v>13</v>
      </c>
      <c r="B726" s="3" t="s">
        <v>56</v>
      </c>
      <c r="C726" s="11" t="s">
        <v>217</v>
      </c>
      <c r="D726" s="54">
        <v>610</v>
      </c>
      <c r="E726" s="55" t="s">
        <v>123</v>
      </c>
      <c r="F726" s="28">
        <f>88890.3+4595.2+3651.8</f>
        <v>97137.3</v>
      </c>
      <c r="G726" s="28">
        <v>97137.3</v>
      </c>
    </row>
    <row r="727" spans="1:7" ht="31.5">
      <c r="A727" s="3" t="s">
        <v>13</v>
      </c>
      <c r="B727" s="3" t="s">
        <v>56</v>
      </c>
      <c r="C727" s="11" t="s">
        <v>216</v>
      </c>
      <c r="D727" s="11"/>
      <c r="E727" s="9" t="s">
        <v>144</v>
      </c>
      <c r="F727" s="28">
        <f>F728</f>
        <v>72043.3</v>
      </c>
      <c r="G727" s="28">
        <f t="shared" ref="G727:G728" si="253">G728</f>
        <v>72043.3</v>
      </c>
    </row>
    <row r="728" spans="1:7" ht="31.5">
      <c r="A728" s="3" t="s">
        <v>13</v>
      </c>
      <c r="B728" s="3" t="s">
        <v>56</v>
      </c>
      <c r="C728" s="11" t="s">
        <v>216</v>
      </c>
      <c r="D728" s="56" t="s">
        <v>109</v>
      </c>
      <c r="E728" s="55" t="s">
        <v>110</v>
      </c>
      <c r="F728" s="28">
        <f>F729</f>
        <v>72043.3</v>
      </c>
      <c r="G728" s="28">
        <f t="shared" si="253"/>
        <v>72043.3</v>
      </c>
    </row>
    <row r="729" spans="1:7">
      <c r="A729" s="54" t="s">
        <v>13</v>
      </c>
      <c r="B729" s="3" t="s">
        <v>56</v>
      </c>
      <c r="C729" s="11" t="s">
        <v>216</v>
      </c>
      <c r="D729" s="54">
        <v>610</v>
      </c>
      <c r="E729" s="55" t="s">
        <v>123</v>
      </c>
      <c r="F729" s="28">
        <f>73814.5+1406.2-767.4-59.8-1442.7-669.6-237.9</f>
        <v>72043.3</v>
      </c>
      <c r="G729" s="28">
        <v>72043.3</v>
      </c>
    </row>
    <row r="730" spans="1:7" ht="63">
      <c r="A730" s="3" t="s">
        <v>13</v>
      </c>
      <c r="B730" s="3" t="s">
        <v>56</v>
      </c>
      <c r="C730" s="11" t="s">
        <v>351</v>
      </c>
      <c r="D730" s="13"/>
      <c r="E730" s="9" t="s">
        <v>354</v>
      </c>
      <c r="F730" s="28">
        <f>F731</f>
        <v>1496.8</v>
      </c>
      <c r="G730" s="28">
        <f t="shared" ref="G730:G731" si="254">G731</f>
        <v>1496.8</v>
      </c>
    </row>
    <row r="731" spans="1:7" ht="31.5">
      <c r="A731" s="3" t="s">
        <v>13</v>
      </c>
      <c r="B731" s="3" t="s">
        <v>56</v>
      </c>
      <c r="C731" s="11" t="s">
        <v>351</v>
      </c>
      <c r="D731" s="86" t="s">
        <v>109</v>
      </c>
      <c r="E731" s="85" t="s">
        <v>110</v>
      </c>
      <c r="F731" s="28">
        <f>F732</f>
        <v>1496.8</v>
      </c>
      <c r="G731" s="28">
        <f t="shared" si="254"/>
        <v>1496.8</v>
      </c>
    </row>
    <row r="732" spans="1:7">
      <c r="A732" s="84" t="s">
        <v>13</v>
      </c>
      <c r="B732" s="3" t="s">
        <v>56</v>
      </c>
      <c r="C732" s="11" t="s">
        <v>351</v>
      </c>
      <c r="D732" s="84">
        <v>610</v>
      </c>
      <c r="E732" s="85" t="s">
        <v>123</v>
      </c>
      <c r="F732" s="28">
        <f>767.4+59.8+669.6</f>
        <v>1496.8</v>
      </c>
      <c r="G732" s="28">
        <v>1496.8</v>
      </c>
    </row>
    <row r="733" spans="1:7" ht="63">
      <c r="A733" s="3" t="s">
        <v>13</v>
      </c>
      <c r="B733" s="3" t="s">
        <v>56</v>
      </c>
      <c r="C733" s="66">
        <v>1110500000</v>
      </c>
      <c r="D733" s="66"/>
      <c r="E733" s="67" t="s">
        <v>222</v>
      </c>
      <c r="F733" s="28">
        <f>F734</f>
        <v>441.7</v>
      </c>
      <c r="G733" s="28">
        <f t="shared" ref="G733:G735" si="255">G734</f>
        <v>441.7</v>
      </c>
    </row>
    <row r="734" spans="1:7" ht="19.5" customHeight="1">
      <c r="A734" s="66" t="s">
        <v>13</v>
      </c>
      <c r="B734" s="3" t="s">
        <v>56</v>
      </c>
      <c r="C734" s="11" t="s">
        <v>323</v>
      </c>
      <c r="D734" s="66"/>
      <c r="E734" s="145" t="s">
        <v>324</v>
      </c>
      <c r="F734" s="28">
        <f>F735</f>
        <v>441.7</v>
      </c>
      <c r="G734" s="28">
        <f t="shared" si="255"/>
        <v>441.7</v>
      </c>
    </row>
    <row r="735" spans="1:7" ht="31.5">
      <c r="A735" s="3" t="s">
        <v>13</v>
      </c>
      <c r="B735" s="3" t="s">
        <v>56</v>
      </c>
      <c r="C735" s="11" t="s">
        <v>323</v>
      </c>
      <c r="D735" s="68" t="s">
        <v>109</v>
      </c>
      <c r="E735" s="67" t="s">
        <v>110</v>
      </c>
      <c r="F735" s="28">
        <f>F736</f>
        <v>441.7</v>
      </c>
      <c r="G735" s="28">
        <f t="shared" si="255"/>
        <v>441.7</v>
      </c>
    </row>
    <row r="736" spans="1:7">
      <c r="A736" s="3" t="s">
        <v>13</v>
      </c>
      <c r="B736" s="3" t="s">
        <v>56</v>
      </c>
      <c r="C736" s="11" t="s">
        <v>323</v>
      </c>
      <c r="D736" s="66">
        <v>610</v>
      </c>
      <c r="E736" s="67" t="s">
        <v>123</v>
      </c>
      <c r="F736" s="28">
        <f>418.2+23.5</f>
        <v>441.7</v>
      </c>
      <c r="G736" s="28">
        <v>441.7</v>
      </c>
    </row>
    <row r="737" spans="1:7" ht="31.5">
      <c r="A737" s="3" t="s">
        <v>13</v>
      </c>
      <c r="B737" s="3" t="s">
        <v>56</v>
      </c>
      <c r="C737" s="97">
        <v>1500000000</v>
      </c>
      <c r="D737" s="95"/>
      <c r="E737" s="96" t="s">
        <v>232</v>
      </c>
      <c r="F737" s="28">
        <f>F738</f>
        <v>653.5</v>
      </c>
      <c r="G737" s="28">
        <f t="shared" ref="G737:G741" si="256">G738</f>
        <v>653.5</v>
      </c>
    </row>
    <row r="738" spans="1:7" ht="31.5">
      <c r="A738" s="3" t="s">
        <v>13</v>
      </c>
      <c r="B738" s="3" t="s">
        <v>56</v>
      </c>
      <c r="C738" s="97">
        <v>1520000000</v>
      </c>
      <c r="D738" s="95"/>
      <c r="E738" s="96" t="s">
        <v>224</v>
      </c>
      <c r="F738" s="28">
        <f>F739</f>
        <v>653.5</v>
      </c>
      <c r="G738" s="28">
        <f t="shared" si="256"/>
        <v>653.5</v>
      </c>
    </row>
    <row r="739" spans="1:7" ht="63">
      <c r="A739" s="3" t="s">
        <v>13</v>
      </c>
      <c r="B739" s="3" t="s">
        <v>56</v>
      </c>
      <c r="C739" s="95">
        <v>1520100000</v>
      </c>
      <c r="D739" s="95"/>
      <c r="E739" s="96" t="s">
        <v>297</v>
      </c>
      <c r="F739" s="28">
        <f>F740</f>
        <v>653.5</v>
      </c>
      <c r="G739" s="28">
        <f t="shared" si="256"/>
        <v>653.5</v>
      </c>
    </row>
    <row r="740" spans="1:7" ht="31.5">
      <c r="A740" s="3" t="s">
        <v>13</v>
      </c>
      <c r="B740" s="3" t="s">
        <v>56</v>
      </c>
      <c r="C740" s="11" t="s">
        <v>359</v>
      </c>
      <c r="D740" s="95"/>
      <c r="E740" s="96" t="s">
        <v>360</v>
      </c>
      <c r="F740" s="28">
        <f>F741</f>
        <v>653.5</v>
      </c>
      <c r="G740" s="28">
        <f t="shared" si="256"/>
        <v>653.5</v>
      </c>
    </row>
    <row r="741" spans="1:7" ht="31.5">
      <c r="A741" s="3" t="s">
        <v>13</v>
      </c>
      <c r="B741" s="3" t="s">
        <v>56</v>
      </c>
      <c r="C741" s="11" t="s">
        <v>359</v>
      </c>
      <c r="D741" s="97" t="s">
        <v>109</v>
      </c>
      <c r="E741" s="96" t="s">
        <v>110</v>
      </c>
      <c r="F741" s="28">
        <f>F742</f>
        <v>653.5</v>
      </c>
      <c r="G741" s="28">
        <f t="shared" si="256"/>
        <v>653.5</v>
      </c>
    </row>
    <row r="742" spans="1:7">
      <c r="A742" s="3" t="s">
        <v>13</v>
      </c>
      <c r="B742" s="3" t="s">
        <v>56</v>
      </c>
      <c r="C742" s="11" t="s">
        <v>359</v>
      </c>
      <c r="D742" s="95">
        <v>610</v>
      </c>
      <c r="E742" s="96" t="s">
        <v>123</v>
      </c>
      <c r="F742" s="28">
        <v>653.5</v>
      </c>
      <c r="G742" s="28">
        <v>653.5</v>
      </c>
    </row>
    <row r="743" spans="1:7">
      <c r="A743" s="54" t="s">
        <v>13</v>
      </c>
      <c r="B743" s="54" t="s">
        <v>57</v>
      </c>
      <c r="C743" s="54" t="s">
        <v>72</v>
      </c>
      <c r="D743" s="54" t="s">
        <v>72</v>
      </c>
      <c r="E743" s="55" t="s">
        <v>15</v>
      </c>
      <c r="F743" s="28">
        <f>F744+F796+F806</f>
        <v>247075.69999999998</v>
      </c>
      <c r="G743" s="28">
        <f>G744+G796+G806</f>
        <v>246993.30000000002</v>
      </c>
    </row>
    <row r="744" spans="1:7" ht="37.9" customHeight="1">
      <c r="A744" s="54" t="s">
        <v>13</v>
      </c>
      <c r="B744" s="54" t="s">
        <v>57</v>
      </c>
      <c r="C744" s="56">
        <v>1100000000</v>
      </c>
      <c r="D744" s="54"/>
      <c r="E744" s="55" t="s">
        <v>236</v>
      </c>
      <c r="F744" s="28">
        <f>F745+F783+F788</f>
        <v>246127.39999999997</v>
      </c>
      <c r="G744" s="28">
        <f>G745+G783+G788</f>
        <v>246045.1</v>
      </c>
    </row>
    <row r="745" spans="1:7">
      <c r="A745" s="54" t="s">
        <v>13</v>
      </c>
      <c r="B745" s="54" t="s">
        <v>57</v>
      </c>
      <c r="C745" s="54">
        <v>1110000000</v>
      </c>
      <c r="D745" s="54"/>
      <c r="E745" s="59" t="s">
        <v>315</v>
      </c>
      <c r="F745" s="28">
        <f>F746+F759+F766+F776</f>
        <v>242258.89999999997</v>
      </c>
      <c r="G745" s="28">
        <f>G746+G759+G766+G776</f>
        <v>242176.6</v>
      </c>
    </row>
    <row r="746" spans="1:7" ht="47.25">
      <c r="A746" s="54" t="s">
        <v>13</v>
      </c>
      <c r="B746" s="54" t="s">
        <v>57</v>
      </c>
      <c r="C746" s="54">
        <v>1110100000</v>
      </c>
      <c r="D746" s="30"/>
      <c r="E746" s="55" t="s">
        <v>215</v>
      </c>
      <c r="F746" s="28">
        <f>F753+F750+F747+F756</f>
        <v>224148.99999999997</v>
      </c>
      <c r="G746" s="28">
        <f t="shared" ref="G746" si="257">G753+G750+G747+G756</f>
        <v>224149</v>
      </c>
    </row>
    <row r="747" spans="1:7" ht="50.25" customHeight="1">
      <c r="A747" s="81" t="s">
        <v>13</v>
      </c>
      <c r="B747" s="81" t="s">
        <v>57</v>
      </c>
      <c r="C747" s="11" t="s">
        <v>348</v>
      </c>
      <c r="D747" s="13"/>
      <c r="E747" s="9" t="s">
        <v>349</v>
      </c>
      <c r="F747" s="28">
        <f>F748</f>
        <v>2379.4</v>
      </c>
      <c r="G747" s="28">
        <f t="shared" ref="G747:G748" si="258">G748</f>
        <v>2379.4</v>
      </c>
    </row>
    <row r="748" spans="1:7" ht="31.5">
      <c r="A748" s="81" t="s">
        <v>13</v>
      </c>
      <c r="B748" s="81" t="s">
        <v>57</v>
      </c>
      <c r="C748" s="11" t="s">
        <v>348</v>
      </c>
      <c r="D748" s="83" t="s">
        <v>109</v>
      </c>
      <c r="E748" s="82" t="s">
        <v>110</v>
      </c>
      <c r="F748" s="28">
        <f>F749</f>
        <v>2379.4</v>
      </c>
      <c r="G748" s="28">
        <f t="shared" si="258"/>
        <v>2379.4</v>
      </c>
    </row>
    <row r="749" spans="1:7">
      <c r="A749" s="81" t="s">
        <v>13</v>
      </c>
      <c r="B749" s="81" t="s">
        <v>57</v>
      </c>
      <c r="C749" s="11" t="s">
        <v>348</v>
      </c>
      <c r="D749" s="81">
        <v>610</v>
      </c>
      <c r="E749" s="82" t="s">
        <v>123</v>
      </c>
      <c r="F749" s="28">
        <f>1172.7+91.4+1115.3</f>
        <v>2379.4</v>
      </c>
      <c r="G749" s="28">
        <v>2379.4</v>
      </c>
    </row>
    <row r="750" spans="1:7" ht="94.5">
      <c r="A750" s="54" t="s">
        <v>13</v>
      </c>
      <c r="B750" s="54" t="s">
        <v>57</v>
      </c>
      <c r="C750" s="54">
        <v>1110110750</v>
      </c>
      <c r="D750" s="54"/>
      <c r="E750" s="55" t="s">
        <v>218</v>
      </c>
      <c r="F750" s="28">
        <f>F751</f>
        <v>183189.09999999998</v>
      </c>
      <c r="G750" s="28">
        <f t="shared" ref="G750:G751" si="259">G751</f>
        <v>183189.1</v>
      </c>
    </row>
    <row r="751" spans="1:7" ht="31.5">
      <c r="A751" s="54" t="s">
        <v>13</v>
      </c>
      <c r="B751" s="54" t="s">
        <v>57</v>
      </c>
      <c r="C751" s="54">
        <v>1110110750</v>
      </c>
      <c r="D751" s="56" t="s">
        <v>109</v>
      </c>
      <c r="E751" s="55" t="s">
        <v>110</v>
      </c>
      <c r="F751" s="28">
        <f>F752</f>
        <v>183189.09999999998</v>
      </c>
      <c r="G751" s="28">
        <f t="shared" si="259"/>
        <v>183189.1</v>
      </c>
    </row>
    <row r="752" spans="1:7">
      <c r="A752" s="54" t="s">
        <v>13</v>
      </c>
      <c r="B752" s="54" t="s">
        <v>57</v>
      </c>
      <c r="C752" s="54">
        <v>1110110750</v>
      </c>
      <c r="D752" s="54">
        <v>610</v>
      </c>
      <c r="E752" s="55" t="s">
        <v>123</v>
      </c>
      <c r="F752" s="28">
        <f>180708.3+2480.8</f>
        <v>183189.09999999998</v>
      </c>
      <c r="G752" s="28">
        <v>183189.1</v>
      </c>
    </row>
    <row r="753" spans="1:7" ht="31.5">
      <c r="A753" s="54" t="s">
        <v>13</v>
      </c>
      <c r="B753" s="54" t="s">
        <v>57</v>
      </c>
      <c r="C753" s="11" t="s">
        <v>216</v>
      </c>
      <c r="D753" s="11"/>
      <c r="E753" s="9" t="s">
        <v>144</v>
      </c>
      <c r="F753" s="28">
        <f>F754</f>
        <v>38342.600000000006</v>
      </c>
      <c r="G753" s="28">
        <f t="shared" ref="G753:G754" si="260">G754</f>
        <v>38342.6</v>
      </c>
    </row>
    <row r="754" spans="1:7" ht="31.5">
      <c r="A754" s="54" t="s">
        <v>13</v>
      </c>
      <c r="B754" s="54" t="s">
        <v>57</v>
      </c>
      <c r="C754" s="11" t="s">
        <v>216</v>
      </c>
      <c r="D754" s="56" t="s">
        <v>109</v>
      </c>
      <c r="E754" s="55" t="s">
        <v>110</v>
      </c>
      <c r="F754" s="28">
        <f>F755</f>
        <v>38342.600000000006</v>
      </c>
      <c r="G754" s="28">
        <f t="shared" si="260"/>
        <v>38342.6</v>
      </c>
    </row>
    <row r="755" spans="1:7">
      <c r="A755" s="54" t="s">
        <v>13</v>
      </c>
      <c r="B755" s="54" t="s">
        <v>57</v>
      </c>
      <c r="C755" s="11" t="s">
        <v>216</v>
      </c>
      <c r="D755" s="54">
        <v>610</v>
      </c>
      <c r="E755" s="55" t="s">
        <v>123</v>
      </c>
      <c r="F755" s="28">
        <f>38975.8+207.1+335.3-117.3-9.1-937.7-111.5</f>
        <v>38342.600000000006</v>
      </c>
      <c r="G755" s="28">
        <v>38342.6</v>
      </c>
    </row>
    <row r="756" spans="1:7" ht="52.5" customHeight="1">
      <c r="A756" s="84" t="s">
        <v>13</v>
      </c>
      <c r="B756" s="84" t="s">
        <v>57</v>
      </c>
      <c r="C756" s="11" t="s">
        <v>351</v>
      </c>
      <c r="D756" s="13"/>
      <c r="E756" s="9" t="s">
        <v>354</v>
      </c>
      <c r="F756" s="28">
        <f>F757</f>
        <v>237.89999999999998</v>
      </c>
      <c r="G756" s="28">
        <f t="shared" ref="G756:G757" si="261">G757</f>
        <v>237.9</v>
      </c>
    </row>
    <row r="757" spans="1:7" ht="31.5">
      <c r="A757" s="84" t="s">
        <v>13</v>
      </c>
      <c r="B757" s="84" t="s">
        <v>57</v>
      </c>
      <c r="C757" s="11" t="s">
        <v>351</v>
      </c>
      <c r="D757" s="86" t="s">
        <v>109</v>
      </c>
      <c r="E757" s="85" t="s">
        <v>110</v>
      </c>
      <c r="F757" s="28">
        <f>F758</f>
        <v>237.89999999999998</v>
      </c>
      <c r="G757" s="28">
        <f t="shared" si="261"/>
        <v>237.9</v>
      </c>
    </row>
    <row r="758" spans="1:7">
      <c r="A758" s="84" t="s">
        <v>13</v>
      </c>
      <c r="B758" s="84" t="s">
        <v>57</v>
      </c>
      <c r="C758" s="11" t="s">
        <v>351</v>
      </c>
      <c r="D758" s="84">
        <v>610</v>
      </c>
      <c r="E758" s="85" t="s">
        <v>123</v>
      </c>
      <c r="F758" s="28">
        <f>117.3+9.1+111.5</f>
        <v>237.89999999999998</v>
      </c>
      <c r="G758" s="28">
        <v>237.9</v>
      </c>
    </row>
    <row r="759" spans="1:7" ht="31.5">
      <c r="A759" s="54" t="s">
        <v>13</v>
      </c>
      <c r="B759" s="54" t="s">
        <v>57</v>
      </c>
      <c r="C759" s="54">
        <v>1110300000</v>
      </c>
      <c r="D759" s="54"/>
      <c r="E759" s="55" t="s">
        <v>219</v>
      </c>
      <c r="F759" s="28">
        <f>F763+F760</f>
        <v>8326</v>
      </c>
      <c r="G759" s="28">
        <f t="shared" ref="G759" si="262">G763+G760</f>
        <v>8326</v>
      </c>
    </row>
    <row r="760" spans="1:7" ht="47.25">
      <c r="A760" s="54" t="s">
        <v>13</v>
      </c>
      <c r="B760" s="54" t="s">
        <v>57</v>
      </c>
      <c r="C760" s="54">
        <v>1110310230</v>
      </c>
      <c r="D760" s="54"/>
      <c r="E760" s="59" t="s">
        <v>299</v>
      </c>
      <c r="F760" s="28">
        <f>F761</f>
        <v>4163</v>
      </c>
      <c r="G760" s="28">
        <f t="shared" ref="G760" si="263">G761</f>
        <v>4163</v>
      </c>
    </row>
    <row r="761" spans="1:7" ht="31.5">
      <c r="A761" s="54" t="s">
        <v>13</v>
      </c>
      <c r="B761" s="54" t="s">
        <v>57</v>
      </c>
      <c r="C761" s="54">
        <v>1110310230</v>
      </c>
      <c r="D761" s="56" t="s">
        <v>109</v>
      </c>
      <c r="E761" s="55" t="s">
        <v>110</v>
      </c>
      <c r="F761" s="28">
        <f>F762</f>
        <v>4163</v>
      </c>
      <c r="G761" s="28">
        <f t="shared" ref="G761" si="264">G762</f>
        <v>4163</v>
      </c>
    </row>
    <row r="762" spans="1:7">
      <c r="A762" s="54" t="s">
        <v>13</v>
      </c>
      <c r="B762" s="54" t="s">
        <v>57</v>
      </c>
      <c r="C762" s="54">
        <v>1110310230</v>
      </c>
      <c r="D762" s="54">
        <v>610</v>
      </c>
      <c r="E762" s="55" t="s">
        <v>123</v>
      </c>
      <c r="F762" s="28">
        <v>4163</v>
      </c>
      <c r="G762" s="28">
        <v>4163</v>
      </c>
    </row>
    <row r="763" spans="1:7" ht="47.25">
      <c r="A763" s="54" t="s">
        <v>13</v>
      </c>
      <c r="B763" s="54" t="s">
        <v>57</v>
      </c>
      <c r="C763" s="54" t="s">
        <v>221</v>
      </c>
      <c r="D763" s="54"/>
      <c r="E763" s="55" t="s">
        <v>220</v>
      </c>
      <c r="F763" s="28">
        <f>F764</f>
        <v>4163</v>
      </c>
      <c r="G763" s="28">
        <f t="shared" ref="G763:G764" si="265">G764</f>
        <v>4163</v>
      </c>
    </row>
    <row r="764" spans="1:7" ht="31.5">
      <c r="A764" s="54" t="s">
        <v>13</v>
      </c>
      <c r="B764" s="54" t="s">
        <v>57</v>
      </c>
      <c r="C764" s="54" t="s">
        <v>221</v>
      </c>
      <c r="D764" s="56" t="s">
        <v>109</v>
      </c>
      <c r="E764" s="55" t="s">
        <v>110</v>
      </c>
      <c r="F764" s="28">
        <f>F765</f>
        <v>4163</v>
      </c>
      <c r="G764" s="28">
        <f t="shared" si="265"/>
        <v>4163</v>
      </c>
    </row>
    <row r="765" spans="1:7">
      <c r="A765" s="54" t="s">
        <v>13</v>
      </c>
      <c r="B765" s="54" t="s">
        <v>57</v>
      </c>
      <c r="C765" s="54" t="s">
        <v>221</v>
      </c>
      <c r="D765" s="54">
        <v>610</v>
      </c>
      <c r="E765" s="55" t="s">
        <v>123</v>
      </c>
      <c r="F765" s="28">
        <v>4163</v>
      </c>
      <c r="G765" s="28">
        <v>4163</v>
      </c>
    </row>
    <row r="766" spans="1:7" ht="63">
      <c r="A766" s="54" t="s">
        <v>13</v>
      </c>
      <c r="B766" s="54" t="s">
        <v>57</v>
      </c>
      <c r="C766" s="54">
        <v>1110500000</v>
      </c>
      <c r="D766" s="54"/>
      <c r="E766" s="55" t="s">
        <v>222</v>
      </c>
      <c r="F766" s="28">
        <f>F770+F767+F773</f>
        <v>9521.9</v>
      </c>
      <c r="G766" s="28">
        <f>G770+G767+G773</f>
        <v>9439.6</v>
      </c>
    </row>
    <row r="767" spans="1:7" ht="47.25">
      <c r="A767" s="58" t="s">
        <v>13</v>
      </c>
      <c r="B767" s="58" t="s">
        <v>57</v>
      </c>
      <c r="C767" s="58">
        <v>1110510440</v>
      </c>
      <c r="D767" s="58"/>
      <c r="E767" s="59" t="s">
        <v>314</v>
      </c>
      <c r="F767" s="28">
        <f>F768</f>
        <v>6050.0999999999995</v>
      </c>
      <c r="G767" s="28">
        <f t="shared" ref="G767:G768" si="266">G768</f>
        <v>5967.8</v>
      </c>
    </row>
    <row r="768" spans="1:7" ht="31.5">
      <c r="A768" s="58" t="s">
        <v>13</v>
      </c>
      <c r="B768" s="58" t="s">
        <v>57</v>
      </c>
      <c r="C768" s="58">
        <v>1110510440</v>
      </c>
      <c r="D768" s="60" t="s">
        <v>109</v>
      </c>
      <c r="E768" s="59" t="s">
        <v>110</v>
      </c>
      <c r="F768" s="28">
        <f>F769</f>
        <v>6050.0999999999995</v>
      </c>
      <c r="G768" s="28">
        <f t="shared" si="266"/>
        <v>5967.8</v>
      </c>
    </row>
    <row r="769" spans="1:7">
      <c r="A769" s="58" t="s">
        <v>13</v>
      </c>
      <c r="B769" s="58" t="s">
        <v>57</v>
      </c>
      <c r="C769" s="58">
        <v>1110510440</v>
      </c>
      <c r="D769" s="58">
        <v>610</v>
      </c>
      <c r="E769" s="59" t="s">
        <v>123</v>
      </c>
      <c r="F769" s="28">
        <f>8404.3-2354.2</f>
        <v>6050.0999999999995</v>
      </c>
      <c r="G769" s="28">
        <v>5967.8</v>
      </c>
    </row>
    <row r="770" spans="1:7" ht="35.25" customHeight="1">
      <c r="A770" s="54" t="s">
        <v>13</v>
      </c>
      <c r="B770" s="54" t="s">
        <v>57</v>
      </c>
      <c r="C770" s="54" t="s">
        <v>223</v>
      </c>
      <c r="D770" s="54"/>
      <c r="E770" s="55" t="s">
        <v>306</v>
      </c>
      <c r="F770" s="28">
        <f>F771</f>
        <v>2150.5000000000005</v>
      </c>
      <c r="G770" s="28">
        <f t="shared" ref="G770:G771" si="267">G771</f>
        <v>2150.5</v>
      </c>
    </row>
    <row r="771" spans="1:7" ht="31.5">
      <c r="A771" s="54" t="s">
        <v>13</v>
      </c>
      <c r="B771" s="54" t="s">
        <v>57</v>
      </c>
      <c r="C771" s="54" t="s">
        <v>223</v>
      </c>
      <c r="D771" s="56" t="s">
        <v>109</v>
      </c>
      <c r="E771" s="55" t="s">
        <v>110</v>
      </c>
      <c r="F771" s="28">
        <f>F772</f>
        <v>2150.5000000000005</v>
      </c>
      <c r="G771" s="28">
        <f t="shared" si="267"/>
        <v>2150.5</v>
      </c>
    </row>
    <row r="772" spans="1:7">
      <c r="A772" s="54" t="s">
        <v>13</v>
      </c>
      <c r="B772" s="54" t="s">
        <v>57</v>
      </c>
      <c r="C772" s="54" t="s">
        <v>223</v>
      </c>
      <c r="D772" s="54">
        <v>610</v>
      </c>
      <c r="E772" s="55" t="s">
        <v>123</v>
      </c>
      <c r="F772" s="28">
        <f>5374-828.9-2365.2-29.4</f>
        <v>2150.5000000000005</v>
      </c>
      <c r="G772" s="28">
        <v>2150.5</v>
      </c>
    </row>
    <row r="773" spans="1:7" ht="17.25" customHeight="1">
      <c r="A773" s="95" t="s">
        <v>13</v>
      </c>
      <c r="B773" s="95" t="s">
        <v>57</v>
      </c>
      <c r="C773" s="11" t="s">
        <v>323</v>
      </c>
      <c r="D773" s="95"/>
      <c r="E773" s="96" t="s">
        <v>324</v>
      </c>
      <c r="F773" s="28">
        <f>F774</f>
        <v>1321.3</v>
      </c>
      <c r="G773" s="28">
        <f t="shared" ref="G773:G774" si="268">G774</f>
        <v>1321.3</v>
      </c>
    </row>
    <row r="774" spans="1:7" ht="31.5">
      <c r="A774" s="95" t="s">
        <v>13</v>
      </c>
      <c r="B774" s="95" t="s">
        <v>57</v>
      </c>
      <c r="C774" s="11" t="s">
        <v>323</v>
      </c>
      <c r="D774" s="97" t="s">
        <v>109</v>
      </c>
      <c r="E774" s="96" t="s">
        <v>110</v>
      </c>
      <c r="F774" s="28">
        <f>F775</f>
        <v>1321.3</v>
      </c>
      <c r="G774" s="28">
        <f t="shared" si="268"/>
        <v>1321.3</v>
      </c>
    </row>
    <row r="775" spans="1:7">
      <c r="A775" s="95" t="s">
        <v>13</v>
      </c>
      <c r="B775" s="95" t="s">
        <v>57</v>
      </c>
      <c r="C775" s="11" t="s">
        <v>323</v>
      </c>
      <c r="D775" s="97">
        <v>610</v>
      </c>
      <c r="E775" s="96" t="s">
        <v>123</v>
      </c>
      <c r="F775" s="28">
        <f>1212.3+109</f>
        <v>1321.3</v>
      </c>
      <c r="G775" s="28">
        <v>1321.3</v>
      </c>
    </row>
    <row r="776" spans="1:7" ht="63">
      <c r="A776" s="54" t="s">
        <v>13</v>
      </c>
      <c r="B776" s="54" t="s">
        <v>57</v>
      </c>
      <c r="C776" s="54">
        <v>1110600000</v>
      </c>
      <c r="D776" s="54"/>
      <c r="E776" s="55" t="s">
        <v>290</v>
      </c>
      <c r="F776" s="28">
        <f>F780+F777</f>
        <v>262</v>
      </c>
      <c r="G776" s="28">
        <f t="shared" ref="G776" si="269">G780+G777</f>
        <v>262</v>
      </c>
    </row>
    <row r="777" spans="1:7" ht="33.75" customHeight="1">
      <c r="A777" s="58" t="s">
        <v>13</v>
      </c>
      <c r="B777" s="58" t="s">
        <v>57</v>
      </c>
      <c r="C777" s="58">
        <v>1110610440</v>
      </c>
      <c r="D777" s="58"/>
      <c r="E777" s="150" t="s">
        <v>306</v>
      </c>
      <c r="F777" s="28">
        <f>F778</f>
        <v>131</v>
      </c>
      <c r="G777" s="28">
        <f t="shared" ref="G777:G778" si="270">G778</f>
        <v>131</v>
      </c>
    </row>
    <row r="778" spans="1:7" ht="31.5">
      <c r="A778" s="58" t="s">
        <v>13</v>
      </c>
      <c r="B778" s="58" t="s">
        <v>57</v>
      </c>
      <c r="C778" s="58">
        <v>1110610440</v>
      </c>
      <c r="D778" s="60" t="s">
        <v>109</v>
      </c>
      <c r="E778" s="59" t="s">
        <v>110</v>
      </c>
      <c r="F778" s="28">
        <f>F779</f>
        <v>131</v>
      </c>
      <c r="G778" s="28">
        <f t="shared" si="270"/>
        <v>131</v>
      </c>
    </row>
    <row r="779" spans="1:7">
      <c r="A779" s="58" t="s">
        <v>13</v>
      </c>
      <c r="B779" s="58" t="s">
        <v>57</v>
      </c>
      <c r="C779" s="58">
        <v>1110610440</v>
      </c>
      <c r="D779" s="58">
        <v>610</v>
      </c>
      <c r="E779" s="59" t="s">
        <v>123</v>
      </c>
      <c r="F779" s="28">
        <f>144.1-13.1</f>
        <v>131</v>
      </c>
      <c r="G779" s="28">
        <v>131</v>
      </c>
    </row>
    <row r="780" spans="1:7" ht="33" customHeight="1">
      <c r="A780" s="54" t="s">
        <v>13</v>
      </c>
      <c r="B780" s="54" t="s">
        <v>57</v>
      </c>
      <c r="C780" s="54" t="s">
        <v>289</v>
      </c>
      <c r="D780" s="54"/>
      <c r="E780" s="55" t="s">
        <v>306</v>
      </c>
      <c r="F780" s="28">
        <f>F781</f>
        <v>131</v>
      </c>
      <c r="G780" s="28">
        <f t="shared" ref="G780" si="271">G781</f>
        <v>131</v>
      </c>
    </row>
    <row r="781" spans="1:7" ht="31.5">
      <c r="A781" s="54" t="s">
        <v>13</v>
      </c>
      <c r="B781" s="54" t="s">
        <v>57</v>
      </c>
      <c r="C781" s="54" t="s">
        <v>289</v>
      </c>
      <c r="D781" s="56" t="s">
        <v>109</v>
      </c>
      <c r="E781" s="55" t="s">
        <v>110</v>
      </c>
      <c r="F781" s="28">
        <f>F782</f>
        <v>131</v>
      </c>
      <c r="G781" s="28">
        <f t="shared" ref="G781" si="272">G782</f>
        <v>131</v>
      </c>
    </row>
    <row r="782" spans="1:7">
      <c r="A782" s="54" t="s">
        <v>13</v>
      </c>
      <c r="B782" s="54" t="s">
        <v>57</v>
      </c>
      <c r="C782" s="54" t="s">
        <v>289</v>
      </c>
      <c r="D782" s="54">
        <v>610</v>
      </c>
      <c r="E782" s="55" t="s">
        <v>123</v>
      </c>
      <c r="F782" s="28">
        <f>144.1-13.1</f>
        <v>131</v>
      </c>
      <c r="G782" s="28">
        <v>131</v>
      </c>
    </row>
    <row r="783" spans="1:7">
      <c r="A783" s="54" t="s">
        <v>13</v>
      </c>
      <c r="B783" s="54" t="s">
        <v>57</v>
      </c>
      <c r="C783" s="54">
        <v>1120000000</v>
      </c>
      <c r="D783" s="54"/>
      <c r="E783" s="55" t="s">
        <v>142</v>
      </c>
      <c r="F783" s="28">
        <f>F784</f>
        <v>3760.5</v>
      </c>
      <c r="G783" s="28">
        <f t="shared" ref="G783:G786" si="273">G784</f>
        <v>3760.5</v>
      </c>
    </row>
    <row r="784" spans="1:7" ht="47.25">
      <c r="A784" s="54" t="s">
        <v>13</v>
      </c>
      <c r="B784" s="54" t="s">
        <v>57</v>
      </c>
      <c r="C784" s="54">
        <v>1120100000</v>
      </c>
      <c r="D784" s="54"/>
      <c r="E784" s="55" t="s">
        <v>143</v>
      </c>
      <c r="F784" s="28">
        <f>F785</f>
        <v>3760.5</v>
      </c>
      <c r="G784" s="28">
        <f t="shared" si="273"/>
        <v>3760.5</v>
      </c>
    </row>
    <row r="785" spans="1:7" ht="31.5">
      <c r="A785" s="54" t="s">
        <v>13</v>
      </c>
      <c r="B785" s="54" t="s">
        <v>57</v>
      </c>
      <c r="C785" s="54">
        <v>1120120010</v>
      </c>
      <c r="D785" s="54"/>
      <c r="E785" s="55" t="s">
        <v>144</v>
      </c>
      <c r="F785" s="28">
        <f>F786</f>
        <v>3760.5</v>
      </c>
      <c r="G785" s="28">
        <f t="shared" si="273"/>
        <v>3760.5</v>
      </c>
    </row>
    <row r="786" spans="1:7" ht="31.5">
      <c r="A786" s="54" t="s">
        <v>13</v>
      </c>
      <c r="B786" s="54" t="s">
        <v>57</v>
      </c>
      <c r="C786" s="54">
        <v>1120120010</v>
      </c>
      <c r="D786" s="56" t="s">
        <v>109</v>
      </c>
      <c r="E786" s="55" t="s">
        <v>110</v>
      </c>
      <c r="F786" s="28">
        <f>F787</f>
        <v>3760.5</v>
      </c>
      <c r="G786" s="28">
        <f t="shared" si="273"/>
        <v>3760.5</v>
      </c>
    </row>
    <row r="787" spans="1:7">
      <c r="A787" s="54" t="s">
        <v>13</v>
      </c>
      <c r="B787" s="54" t="s">
        <v>57</v>
      </c>
      <c r="C787" s="54">
        <v>1120120010</v>
      </c>
      <c r="D787" s="54">
        <v>610</v>
      </c>
      <c r="E787" s="55" t="s">
        <v>123</v>
      </c>
      <c r="F787" s="28">
        <f>3714.5+46</f>
        <v>3760.5</v>
      </c>
      <c r="G787" s="28">
        <v>3760.5</v>
      </c>
    </row>
    <row r="788" spans="1:7" ht="31.5">
      <c r="A788" s="54" t="s">
        <v>13</v>
      </c>
      <c r="B788" s="54" t="s">
        <v>57</v>
      </c>
      <c r="C788" s="54">
        <v>1130000000</v>
      </c>
      <c r="D788" s="54"/>
      <c r="E788" s="55" t="s">
        <v>135</v>
      </c>
      <c r="F788" s="28">
        <f>F789</f>
        <v>108</v>
      </c>
      <c r="G788" s="28">
        <f t="shared" ref="G788:G794" si="274">G789</f>
        <v>108</v>
      </c>
    </row>
    <row r="789" spans="1:7" ht="31.5">
      <c r="A789" s="54" t="s">
        <v>13</v>
      </c>
      <c r="B789" s="54" t="s">
        <v>57</v>
      </c>
      <c r="C789" s="54">
        <v>1130100000</v>
      </c>
      <c r="D789" s="54"/>
      <c r="E789" s="55" t="s">
        <v>281</v>
      </c>
      <c r="F789" s="28">
        <f>F793+F790</f>
        <v>108</v>
      </c>
      <c r="G789" s="28">
        <f t="shared" ref="G789" si="275">G793+G790</f>
        <v>108</v>
      </c>
    </row>
    <row r="790" spans="1:7" ht="78.75">
      <c r="A790" s="54" t="s">
        <v>13</v>
      </c>
      <c r="B790" s="54" t="s">
        <v>57</v>
      </c>
      <c r="C790" s="54">
        <v>1130110660</v>
      </c>
      <c r="D790" s="54"/>
      <c r="E790" s="55" t="s">
        <v>307</v>
      </c>
      <c r="F790" s="28">
        <f>F791</f>
        <v>97.2</v>
      </c>
      <c r="G790" s="28">
        <f t="shared" ref="G790:G791" si="276">G791</f>
        <v>97.2</v>
      </c>
    </row>
    <row r="791" spans="1:7" ht="31.5">
      <c r="A791" s="54" t="s">
        <v>13</v>
      </c>
      <c r="B791" s="54" t="s">
        <v>57</v>
      </c>
      <c r="C791" s="54">
        <v>1130110660</v>
      </c>
      <c r="D791" s="56" t="s">
        <v>109</v>
      </c>
      <c r="E791" s="55" t="s">
        <v>110</v>
      </c>
      <c r="F791" s="28">
        <f>F792</f>
        <v>97.2</v>
      </c>
      <c r="G791" s="28">
        <f t="shared" si="276"/>
        <v>97.2</v>
      </c>
    </row>
    <row r="792" spans="1:7">
      <c r="A792" s="54" t="s">
        <v>13</v>
      </c>
      <c r="B792" s="54" t="s">
        <v>57</v>
      </c>
      <c r="C792" s="54">
        <v>1130110660</v>
      </c>
      <c r="D792" s="54">
        <v>610</v>
      </c>
      <c r="E792" s="55" t="s">
        <v>123</v>
      </c>
      <c r="F792" s="28">
        <v>97.2</v>
      </c>
      <c r="G792" s="28">
        <v>97.2</v>
      </c>
    </row>
    <row r="793" spans="1:7" ht="78.75">
      <c r="A793" s="54" t="s">
        <v>13</v>
      </c>
      <c r="B793" s="54" t="s">
        <v>57</v>
      </c>
      <c r="C793" s="54" t="s">
        <v>282</v>
      </c>
      <c r="D793" s="54"/>
      <c r="E793" s="55" t="s">
        <v>308</v>
      </c>
      <c r="F793" s="28">
        <f>F794</f>
        <v>10.799999999999999</v>
      </c>
      <c r="G793" s="28">
        <f t="shared" si="274"/>
        <v>10.8</v>
      </c>
    </row>
    <row r="794" spans="1:7" ht="31.5">
      <c r="A794" s="54" t="s">
        <v>13</v>
      </c>
      <c r="B794" s="54" t="s">
        <v>57</v>
      </c>
      <c r="C794" s="54" t="s">
        <v>282</v>
      </c>
      <c r="D794" s="56" t="s">
        <v>109</v>
      </c>
      <c r="E794" s="55" t="s">
        <v>110</v>
      </c>
      <c r="F794" s="28">
        <f>F795</f>
        <v>10.799999999999999</v>
      </c>
      <c r="G794" s="28">
        <f t="shared" si="274"/>
        <v>10.8</v>
      </c>
    </row>
    <row r="795" spans="1:7">
      <c r="A795" s="54" t="s">
        <v>13</v>
      </c>
      <c r="B795" s="54" t="s">
        <v>57</v>
      </c>
      <c r="C795" s="54" t="s">
        <v>282</v>
      </c>
      <c r="D795" s="54">
        <v>610</v>
      </c>
      <c r="E795" s="55" t="s">
        <v>123</v>
      </c>
      <c r="F795" s="28">
        <f>1.1+9.7</f>
        <v>10.799999999999999</v>
      </c>
      <c r="G795" s="28">
        <v>10.8</v>
      </c>
    </row>
    <row r="796" spans="1:7" ht="31.5">
      <c r="A796" s="54" t="s">
        <v>13</v>
      </c>
      <c r="B796" s="54" t="s">
        <v>57</v>
      </c>
      <c r="C796" s="56">
        <v>1500000000</v>
      </c>
      <c r="D796" s="54"/>
      <c r="E796" s="55" t="s">
        <v>232</v>
      </c>
      <c r="F796" s="28">
        <f>F797</f>
        <v>578.19999999999993</v>
      </c>
      <c r="G796" s="28">
        <f t="shared" ref="G796" si="277">G797</f>
        <v>578.09999999999991</v>
      </c>
    </row>
    <row r="797" spans="1:7" ht="31.5">
      <c r="A797" s="54" t="s">
        <v>13</v>
      </c>
      <c r="B797" s="54" t="s">
        <v>57</v>
      </c>
      <c r="C797" s="56">
        <v>1520000000</v>
      </c>
      <c r="D797" s="54"/>
      <c r="E797" s="55" t="s">
        <v>224</v>
      </c>
      <c r="F797" s="28">
        <f>F798+F802</f>
        <v>578.19999999999993</v>
      </c>
      <c r="G797" s="28">
        <f>G798+G802</f>
        <v>578.09999999999991</v>
      </c>
    </row>
    <row r="798" spans="1:7" ht="63">
      <c r="A798" s="54" t="s">
        <v>13</v>
      </c>
      <c r="B798" s="54" t="s">
        <v>57</v>
      </c>
      <c r="C798" s="54">
        <v>1520100000</v>
      </c>
      <c r="D798" s="54"/>
      <c r="E798" s="55" t="s">
        <v>297</v>
      </c>
      <c r="F798" s="28">
        <f>F799</f>
        <v>512.4</v>
      </c>
      <c r="G798" s="28">
        <f t="shared" ref="G798" si="278">G799</f>
        <v>512.29999999999995</v>
      </c>
    </row>
    <row r="799" spans="1:7" ht="31.5">
      <c r="A799" s="3" t="s">
        <v>13</v>
      </c>
      <c r="B799" s="95" t="s">
        <v>57</v>
      </c>
      <c r="C799" s="11" t="s">
        <v>359</v>
      </c>
      <c r="D799" s="95"/>
      <c r="E799" s="104" t="s">
        <v>365</v>
      </c>
      <c r="F799" s="28">
        <f>F800</f>
        <v>512.4</v>
      </c>
      <c r="G799" s="28">
        <f t="shared" ref="G799:G800" si="279">G800</f>
        <v>512.29999999999995</v>
      </c>
    </row>
    <row r="800" spans="1:7" ht="31.5">
      <c r="A800" s="3" t="s">
        <v>13</v>
      </c>
      <c r="B800" s="95" t="s">
        <v>57</v>
      </c>
      <c r="C800" s="11" t="s">
        <v>359</v>
      </c>
      <c r="D800" s="97" t="s">
        <v>109</v>
      </c>
      <c r="E800" s="96" t="s">
        <v>110</v>
      </c>
      <c r="F800" s="28">
        <f>F801</f>
        <v>512.4</v>
      </c>
      <c r="G800" s="28">
        <f t="shared" si="279"/>
        <v>512.29999999999995</v>
      </c>
    </row>
    <row r="801" spans="1:7">
      <c r="A801" s="3" t="s">
        <v>13</v>
      </c>
      <c r="B801" s="95" t="s">
        <v>57</v>
      </c>
      <c r="C801" s="11" t="s">
        <v>359</v>
      </c>
      <c r="D801" s="95">
        <v>610</v>
      </c>
      <c r="E801" s="96" t="s">
        <v>123</v>
      </c>
      <c r="F801" s="28">
        <f>408.5+98+5.9</f>
        <v>512.4</v>
      </c>
      <c r="G801" s="28">
        <v>512.29999999999995</v>
      </c>
    </row>
    <row r="802" spans="1:7" ht="47.25">
      <c r="A802" s="3" t="s">
        <v>13</v>
      </c>
      <c r="B802" s="95" t="s">
        <v>57</v>
      </c>
      <c r="C802" s="11" t="s">
        <v>362</v>
      </c>
      <c r="D802" s="95"/>
      <c r="E802" s="96" t="s">
        <v>363</v>
      </c>
      <c r="F802" s="28">
        <f>F803</f>
        <v>65.8</v>
      </c>
      <c r="G802" s="28">
        <f t="shared" ref="G802" si="280">G803</f>
        <v>65.8</v>
      </c>
    </row>
    <row r="803" spans="1:7">
      <c r="A803" s="3" t="s">
        <v>13</v>
      </c>
      <c r="B803" s="95" t="s">
        <v>57</v>
      </c>
      <c r="C803" s="11" t="s">
        <v>362</v>
      </c>
      <c r="D803" s="95"/>
      <c r="E803" s="96" t="s">
        <v>361</v>
      </c>
      <c r="F803" s="28">
        <f>F804</f>
        <v>65.8</v>
      </c>
      <c r="G803" s="28">
        <f t="shared" ref="G803:G804" si="281">G804</f>
        <v>65.8</v>
      </c>
    </row>
    <row r="804" spans="1:7" ht="31.5">
      <c r="A804" s="3" t="s">
        <v>13</v>
      </c>
      <c r="B804" s="95" t="s">
        <v>57</v>
      </c>
      <c r="C804" s="11" t="s">
        <v>362</v>
      </c>
      <c r="D804" s="97" t="s">
        <v>109</v>
      </c>
      <c r="E804" s="96" t="s">
        <v>110</v>
      </c>
      <c r="F804" s="28">
        <f>F805</f>
        <v>65.8</v>
      </c>
      <c r="G804" s="28">
        <f t="shared" si="281"/>
        <v>65.8</v>
      </c>
    </row>
    <row r="805" spans="1:7">
      <c r="A805" s="3" t="s">
        <v>13</v>
      </c>
      <c r="B805" s="95" t="s">
        <v>57</v>
      </c>
      <c r="C805" s="11" t="s">
        <v>362</v>
      </c>
      <c r="D805" s="95">
        <v>610</v>
      </c>
      <c r="E805" s="96" t="s">
        <v>123</v>
      </c>
      <c r="F805" s="28">
        <v>65.8</v>
      </c>
      <c r="G805" s="28">
        <v>65.8</v>
      </c>
    </row>
    <row r="806" spans="1:7">
      <c r="A806" s="3" t="s">
        <v>13</v>
      </c>
      <c r="B806" s="105" t="s">
        <v>57</v>
      </c>
      <c r="C806" s="105">
        <v>9900000000</v>
      </c>
      <c r="D806" s="105"/>
      <c r="E806" s="106" t="s">
        <v>124</v>
      </c>
      <c r="F806" s="28">
        <f>F807</f>
        <v>370.1</v>
      </c>
      <c r="G806" s="28">
        <f t="shared" ref="G806:G809" si="282">G807</f>
        <v>370.1</v>
      </c>
    </row>
    <row r="807" spans="1:7" ht="47.25">
      <c r="A807" s="3" t="s">
        <v>13</v>
      </c>
      <c r="B807" s="105" t="s">
        <v>57</v>
      </c>
      <c r="C807" s="105">
        <v>9920000000</v>
      </c>
      <c r="D807" s="105"/>
      <c r="E807" s="106" t="s">
        <v>366</v>
      </c>
      <c r="F807" s="28">
        <f>F808</f>
        <v>370.1</v>
      </c>
      <c r="G807" s="28">
        <f t="shared" si="282"/>
        <v>370.1</v>
      </c>
    </row>
    <row r="808" spans="1:7" ht="32.25" customHeight="1">
      <c r="A808" s="3" t="s">
        <v>13</v>
      </c>
      <c r="B808" s="105" t="s">
        <v>57</v>
      </c>
      <c r="C808" s="105">
        <v>9920010920</v>
      </c>
      <c r="D808" s="105"/>
      <c r="E808" s="106" t="s">
        <v>367</v>
      </c>
      <c r="F808" s="28">
        <f>F809</f>
        <v>370.1</v>
      </c>
      <c r="G808" s="28">
        <f t="shared" si="282"/>
        <v>370.1</v>
      </c>
    </row>
    <row r="809" spans="1:7" ht="31.5">
      <c r="A809" s="3" t="s">
        <v>13</v>
      </c>
      <c r="B809" s="105" t="s">
        <v>57</v>
      </c>
      <c r="C809" s="105">
        <v>9920010920</v>
      </c>
      <c r="D809" s="107" t="s">
        <v>109</v>
      </c>
      <c r="E809" s="106" t="s">
        <v>110</v>
      </c>
      <c r="F809" s="28">
        <f>F810</f>
        <v>370.1</v>
      </c>
      <c r="G809" s="28">
        <f t="shared" si="282"/>
        <v>370.1</v>
      </c>
    </row>
    <row r="810" spans="1:7">
      <c r="A810" s="3" t="s">
        <v>13</v>
      </c>
      <c r="B810" s="105" t="s">
        <v>57</v>
      </c>
      <c r="C810" s="105">
        <v>9920010920</v>
      </c>
      <c r="D810" s="105">
        <v>610</v>
      </c>
      <c r="E810" s="106" t="s">
        <v>123</v>
      </c>
      <c r="F810" s="28">
        <f>70.1+300</f>
        <v>370.1</v>
      </c>
      <c r="G810" s="28">
        <v>370.1</v>
      </c>
    </row>
    <row r="811" spans="1:7">
      <c r="A811" s="54" t="s">
        <v>13</v>
      </c>
      <c r="B811" s="54" t="s">
        <v>100</v>
      </c>
      <c r="C811" s="54" t="s">
        <v>72</v>
      </c>
      <c r="D811" s="54" t="s">
        <v>72</v>
      </c>
      <c r="E811" s="55" t="s">
        <v>101</v>
      </c>
      <c r="F811" s="28">
        <f>F812+F830</f>
        <v>11213.1</v>
      </c>
      <c r="G811" s="28">
        <f>G812+G830</f>
        <v>11213</v>
      </c>
    </row>
    <row r="812" spans="1:7" ht="31.5" customHeight="1">
      <c r="A812" s="54" t="s">
        <v>13</v>
      </c>
      <c r="B812" s="54" t="s">
        <v>100</v>
      </c>
      <c r="C812" s="56">
        <v>1100000000</v>
      </c>
      <c r="D812" s="54"/>
      <c r="E812" s="55" t="s">
        <v>236</v>
      </c>
      <c r="F812" s="28">
        <f t="shared" ref="F812:G822" si="283">F813</f>
        <v>11187.6</v>
      </c>
      <c r="G812" s="28">
        <f t="shared" si="283"/>
        <v>11187.5</v>
      </c>
    </row>
    <row r="813" spans="1:7">
      <c r="A813" s="54" t="s">
        <v>13</v>
      </c>
      <c r="B813" s="54" t="s">
        <v>100</v>
      </c>
      <c r="C813" s="54">
        <v>1120000000</v>
      </c>
      <c r="D813" s="54"/>
      <c r="E813" s="55" t="s">
        <v>142</v>
      </c>
      <c r="F813" s="28">
        <f>F814</f>
        <v>11187.6</v>
      </c>
      <c r="G813" s="28">
        <f t="shared" si="283"/>
        <v>11187.5</v>
      </c>
    </row>
    <row r="814" spans="1:7" ht="47.25">
      <c r="A814" s="3" t="s">
        <v>13</v>
      </c>
      <c r="B814" s="54" t="s">
        <v>100</v>
      </c>
      <c r="C814" s="54">
        <v>1120100000</v>
      </c>
      <c r="D814" s="54"/>
      <c r="E814" s="55" t="s">
        <v>143</v>
      </c>
      <c r="F814" s="28">
        <f>F821+F818+F827+F815+F824</f>
        <v>11187.6</v>
      </c>
      <c r="G814" s="28">
        <f t="shared" ref="G814" si="284">G821+G818+G827+G815+G824</f>
        <v>11187.5</v>
      </c>
    </row>
    <row r="815" spans="1:7" ht="48" customHeight="1">
      <c r="A815" s="81" t="s">
        <v>13</v>
      </c>
      <c r="B815" s="81" t="s">
        <v>100</v>
      </c>
      <c r="C815" s="11" t="s">
        <v>350</v>
      </c>
      <c r="D815" s="13"/>
      <c r="E815" s="9" t="s">
        <v>349</v>
      </c>
      <c r="F815" s="28">
        <f>F816</f>
        <v>139.69999999999999</v>
      </c>
      <c r="G815" s="28">
        <f t="shared" ref="G815:G816" si="285">G816</f>
        <v>139.69999999999999</v>
      </c>
    </row>
    <row r="816" spans="1:7" ht="31.5">
      <c r="A816" s="81" t="s">
        <v>13</v>
      </c>
      <c r="B816" s="81" t="s">
        <v>100</v>
      </c>
      <c r="C816" s="11" t="s">
        <v>350</v>
      </c>
      <c r="D816" s="83" t="s">
        <v>109</v>
      </c>
      <c r="E816" s="82" t="s">
        <v>110</v>
      </c>
      <c r="F816" s="28">
        <f>F817</f>
        <v>139.69999999999999</v>
      </c>
      <c r="G816" s="28">
        <f t="shared" si="285"/>
        <v>139.69999999999999</v>
      </c>
    </row>
    <row r="817" spans="1:7">
      <c r="A817" s="3" t="s">
        <v>13</v>
      </c>
      <c r="B817" s="81" t="s">
        <v>100</v>
      </c>
      <c r="C817" s="11" t="s">
        <v>350</v>
      </c>
      <c r="D817" s="81">
        <v>610</v>
      </c>
      <c r="E817" s="82" t="s">
        <v>123</v>
      </c>
      <c r="F817" s="28">
        <f>48.8+3.8+87.1</f>
        <v>139.69999999999999</v>
      </c>
      <c r="G817" s="28">
        <v>139.69999999999999</v>
      </c>
    </row>
    <row r="818" spans="1:7" ht="47.25">
      <c r="A818" s="54" t="s">
        <v>13</v>
      </c>
      <c r="B818" s="54" t="s">
        <v>100</v>
      </c>
      <c r="C818" s="54">
        <v>1120110690</v>
      </c>
      <c r="D818" s="54"/>
      <c r="E818" s="55" t="s">
        <v>303</v>
      </c>
      <c r="F818" s="28">
        <f>F819</f>
        <v>2675.2</v>
      </c>
      <c r="G818" s="28">
        <f t="shared" ref="G818:G819" si="286">G819</f>
        <v>2675.2</v>
      </c>
    </row>
    <row r="819" spans="1:7" ht="31.5">
      <c r="A819" s="54" t="s">
        <v>13</v>
      </c>
      <c r="B819" s="54" t="s">
        <v>100</v>
      </c>
      <c r="C819" s="54">
        <v>1120110690</v>
      </c>
      <c r="D819" s="56" t="s">
        <v>109</v>
      </c>
      <c r="E819" s="55" t="s">
        <v>110</v>
      </c>
      <c r="F819" s="28">
        <f>F820</f>
        <v>2675.2</v>
      </c>
      <c r="G819" s="28">
        <f t="shared" si="286"/>
        <v>2675.2</v>
      </c>
    </row>
    <row r="820" spans="1:7">
      <c r="A820" s="3" t="s">
        <v>13</v>
      </c>
      <c r="B820" s="54" t="s">
        <v>100</v>
      </c>
      <c r="C820" s="54">
        <v>1120110690</v>
      </c>
      <c r="D820" s="54">
        <v>610</v>
      </c>
      <c r="E820" s="55" t="s">
        <v>123</v>
      </c>
      <c r="F820" s="28">
        <f>1551.1+270.9+853.2</f>
        <v>2675.2</v>
      </c>
      <c r="G820" s="28">
        <v>2675.2</v>
      </c>
    </row>
    <row r="821" spans="1:7" ht="31.5">
      <c r="A821" s="3" t="s">
        <v>13</v>
      </c>
      <c r="B821" s="54" t="s">
        <v>100</v>
      </c>
      <c r="C821" s="54">
        <v>1120120010</v>
      </c>
      <c r="D821" s="54"/>
      <c r="E821" s="55" t="s">
        <v>144</v>
      </c>
      <c r="F821" s="28">
        <f t="shared" si="283"/>
        <v>8198.0999999999985</v>
      </c>
      <c r="G821" s="28">
        <f t="shared" si="283"/>
        <v>8198.1</v>
      </c>
    </row>
    <row r="822" spans="1:7" ht="31.5">
      <c r="A822" s="3" t="s">
        <v>13</v>
      </c>
      <c r="B822" s="54" t="s">
        <v>100</v>
      </c>
      <c r="C822" s="54">
        <v>1120120010</v>
      </c>
      <c r="D822" s="56" t="s">
        <v>109</v>
      </c>
      <c r="E822" s="55" t="s">
        <v>110</v>
      </c>
      <c r="F822" s="28">
        <f t="shared" si="283"/>
        <v>8198.0999999999985</v>
      </c>
      <c r="G822" s="28">
        <f t="shared" si="283"/>
        <v>8198.1</v>
      </c>
    </row>
    <row r="823" spans="1:7">
      <c r="A823" s="54" t="s">
        <v>13</v>
      </c>
      <c r="B823" s="54" t="s">
        <v>100</v>
      </c>
      <c r="C823" s="54">
        <v>1120120010</v>
      </c>
      <c r="D823" s="54">
        <v>610</v>
      </c>
      <c r="E823" s="55" t="s">
        <v>123</v>
      </c>
      <c r="F823" s="28">
        <f>9721.4-1422-93.1+73.3-4.9-0.4-16.3-51.2-8.7</f>
        <v>8198.0999999999985</v>
      </c>
      <c r="G823" s="28">
        <v>8198.1</v>
      </c>
    </row>
    <row r="824" spans="1:7" ht="48" customHeight="1">
      <c r="A824" s="3" t="s">
        <v>13</v>
      </c>
      <c r="B824" s="84" t="s">
        <v>100</v>
      </c>
      <c r="C824" s="11" t="s">
        <v>352</v>
      </c>
      <c r="D824" s="13"/>
      <c r="E824" s="9" t="s">
        <v>354</v>
      </c>
      <c r="F824" s="28">
        <f>F825</f>
        <v>14</v>
      </c>
      <c r="G824" s="28">
        <f t="shared" ref="G824:G825" si="287">G825</f>
        <v>14</v>
      </c>
    </row>
    <row r="825" spans="1:7" ht="31.5">
      <c r="A825" s="3" t="s">
        <v>13</v>
      </c>
      <c r="B825" s="84" t="s">
        <v>100</v>
      </c>
      <c r="C825" s="11" t="s">
        <v>352</v>
      </c>
      <c r="D825" s="86" t="s">
        <v>109</v>
      </c>
      <c r="E825" s="85" t="s">
        <v>110</v>
      </c>
      <c r="F825" s="28">
        <f>F826</f>
        <v>14</v>
      </c>
      <c r="G825" s="28">
        <f t="shared" si="287"/>
        <v>14</v>
      </c>
    </row>
    <row r="826" spans="1:7">
      <c r="A826" s="84" t="s">
        <v>13</v>
      </c>
      <c r="B826" s="84" t="s">
        <v>100</v>
      </c>
      <c r="C826" s="11" t="s">
        <v>352</v>
      </c>
      <c r="D826" s="84">
        <v>610</v>
      </c>
      <c r="E826" s="85" t="s">
        <v>123</v>
      </c>
      <c r="F826" s="28">
        <f>4.9+0.4+8.7</f>
        <v>14</v>
      </c>
      <c r="G826" s="28">
        <v>14</v>
      </c>
    </row>
    <row r="827" spans="1:7" ht="47.25">
      <c r="A827" s="54" t="s">
        <v>13</v>
      </c>
      <c r="B827" s="54" t="s">
        <v>100</v>
      </c>
      <c r="C827" s="54" t="s">
        <v>302</v>
      </c>
      <c r="D827" s="54"/>
      <c r="E827" s="55" t="s">
        <v>304</v>
      </c>
      <c r="F827" s="28">
        <f>F828</f>
        <v>160.6</v>
      </c>
      <c r="G827" s="28">
        <f t="shared" ref="G827:G828" si="288">G828</f>
        <v>160.5</v>
      </c>
    </row>
    <row r="828" spans="1:7" ht="31.5">
      <c r="A828" s="54" t="s">
        <v>13</v>
      </c>
      <c r="B828" s="54" t="s">
        <v>100</v>
      </c>
      <c r="C828" s="54" t="s">
        <v>302</v>
      </c>
      <c r="D828" s="56" t="s">
        <v>109</v>
      </c>
      <c r="E828" s="55" t="s">
        <v>110</v>
      </c>
      <c r="F828" s="28">
        <f>F829</f>
        <v>160.6</v>
      </c>
      <c r="G828" s="28">
        <f t="shared" si="288"/>
        <v>160.5</v>
      </c>
    </row>
    <row r="829" spans="1:7">
      <c r="A829" s="3" t="s">
        <v>13</v>
      </c>
      <c r="B829" s="54" t="s">
        <v>100</v>
      </c>
      <c r="C829" s="54" t="s">
        <v>302</v>
      </c>
      <c r="D829" s="54">
        <v>610</v>
      </c>
      <c r="E829" s="55" t="s">
        <v>123</v>
      </c>
      <c r="F829" s="28">
        <f>93.1+16.3+51.2</f>
        <v>160.6</v>
      </c>
      <c r="G829" s="28">
        <v>160.5</v>
      </c>
    </row>
    <row r="830" spans="1:7" ht="31.5">
      <c r="A830" s="95" t="s">
        <v>13</v>
      </c>
      <c r="B830" s="95" t="s">
        <v>100</v>
      </c>
      <c r="C830" s="97">
        <v>1500000000</v>
      </c>
      <c r="D830" s="95"/>
      <c r="E830" s="96" t="s">
        <v>232</v>
      </c>
      <c r="F830" s="28">
        <f>F831</f>
        <v>25.5</v>
      </c>
      <c r="G830" s="28">
        <f t="shared" ref="G830:G834" si="289">G831</f>
        <v>25.5</v>
      </c>
    </row>
    <row r="831" spans="1:7" ht="31.5">
      <c r="A831" s="95" t="s">
        <v>13</v>
      </c>
      <c r="B831" s="95" t="s">
        <v>100</v>
      </c>
      <c r="C831" s="97">
        <v>1520000000</v>
      </c>
      <c r="D831" s="95"/>
      <c r="E831" s="96" t="s">
        <v>224</v>
      </c>
      <c r="F831" s="28">
        <f>F832</f>
        <v>25.5</v>
      </c>
      <c r="G831" s="28">
        <f t="shared" si="289"/>
        <v>25.5</v>
      </c>
    </row>
    <row r="832" spans="1:7" ht="63">
      <c r="A832" s="95" t="s">
        <v>13</v>
      </c>
      <c r="B832" s="95" t="s">
        <v>100</v>
      </c>
      <c r="C832" s="95">
        <v>1520100000</v>
      </c>
      <c r="D832" s="95"/>
      <c r="E832" s="96" t="s">
        <v>297</v>
      </c>
      <c r="F832" s="28">
        <f>F833</f>
        <v>25.5</v>
      </c>
      <c r="G832" s="28">
        <f t="shared" si="289"/>
        <v>25.5</v>
      </c>
    </row>
    <row r="833" spans="1:7" ht="31.5">
      <c r="A833" s="3" t="s">
        <v>13</v>
      </c>
      <c r="B833" s="95" t="s">
        <v>100</v>
      </c>
      <c r="C833" s="11" t="s">
        <v>359</v>
      </c>
      <c r="D833" s="95"/>
      <c r="E833" s="104" t="s">
        <v>365</v>
      </c>
      <c r="F833" s="28">
        <f>F834</f>
        <v>25.5</v>
      </c>
      <c r="G833" s="28">
        <f t="shared" si="289"/>
        <v>25.5</v>
      </c>
    </row>
    <row r="834" spans="1:7" ht="31.5">
      <c r="A834" s="3" t="s">
        <v>13</v>
      </c>
      <c r="B834" s="95" t="s">
        <v>100</v>
      </c>
      <c r="C834" s="11" t="s">
        <v>359</v>
      </c>
      <c r="D834" s="97" t="s">
        <v>109</v>
      </c>
      <c r="E834" s="96" t="s">
        <v>110</v>
      </c>
      <c r="F834" s="28">
        <f>F835</f>
        <v>25.5</v>
      </c>
      <c r="G834" s="28">
        <f t="shared" si="289"/>
        <v>25.5</v>
      </c>
    </row>
    <row r="835" spans="1:7">
      <c r="A835" s="3" t="s">
        <v>13</v>
      </c>
      <c r="B835" s="95" t="s">
        <v>100</v>
      </c>
      <c r="C835" s="11" t="s">
        <v>359</v>
      </c>
      <c r="D835" s="95">
        <v>610</v>
      </c>
      <c r="E835" s="96" t="s">
        <v>123</v>
      </c>
      <c r="F835" s="28">
        <v>25.5</v>
      </c>
      <c r="G835" s="28">
        <v>25.5</v>
      </c>
    </row>
    <row r="836" spans="1:7">
      <c r="A836" s="54" t="s">
        <v>13</v>
      </c>
      <c r="B836" s="54" t="s">
        <v>43</v>
      </c>
      <c r="C836" s="54" t="s">
        <v>72</v>
      </c>
      <c r="D836" s="54" t="s">
        <v>72</v>
      </c>
      <c r="E836" s="55" t="s">
        <v>115</v>
      </c>
      <c r="F836" s="28">
        <f t="shared" ref="F836:G846" si="290">F837</f>
        <v>3131.7999999999997</v>
      </c>
      <c r="G836" s="28">
        <f t="shared" si="290"/>
        <v>3131.4</v>
      </c>
    </row>
    <row r="837" spans="1:7" ht="34.9" customHeight="1">
      <c r="A837" s="54" t="s">
        <v>13</v>
      </c>
      <c r="B837" s="54" t="s">
        <v>43</v>
      </c>
      <c r="C837" s="56">
        <v>1100000000</v>
      </c>
      <c r="D837" s="54"/>
      <c r="E837" s="55" t="s">
        <v>236</v>
      </c>
      <c r="F837" s="28">
        <f t="shared" si="290"/>
        <v>3131.7999999999997</v>
      </c>
      <c r="G837" s="28">
        <f t="shared" si="290"/>
        <v>3131.4</v>
      </c>
    </row>
    <row r="838" spans="1:7">
      <c r="A838" s="54" t="s">
        <v>13</v>
      </c>
      <c r="B838" s="54" t="s">
        <v>43</v>
      </c>
      <c r="C838" s="54">
        <v>1110000000</v>
      </c>
      <c r="D838" s="54"/>
      <c r="E838" s="55" t="s">
        <v>214</v>
      </c>
      <c r="F838" s="28">
        <f t="shared" si="290"/>
        <v>3131.7999999999997</v>
      </c>
      <c r="G838" s="28">
        <f t="shared" si="290"/>
        <v>3131.4</v>
      </c>
    </row>
    <row r="839" spans="1:7">
      <c r="A839" s="54" t="s">
        <v>13</v>
      </c>
      <c r="B839" s="54" t="s">
        <v>43</v>
      </c>
      <c r="C839" s="54">
        <v>1110400000</v>
      </c>
      <c r="D839" s="54"/>
      <c r="E839" s="55" t="s">
        <v>225</v>
      </c>
      <c r="F839" s="28">
        <f>F845+F840</f>
        <v>3131.7999999999997</v>
      </c>
      <c r="G839" s="28">
        <f t="shared" ref="G839" si="291">G845+G840</f>
        <v>3131.4</v>
      </c>
    </row>
    <row r="840" spans="1:7" ht="31.5">
      <c r="A840" s="54" t="s">
        <v>13</v>
      </c>
      <c r="B840" s="54" t="s">
        <v>43</v>
      </c>
      <c r="C840" s="54">
        <v>1110410240</v>
      </c>
      <c r="D840" s="54"/>
      <c r="E840" s="55" t="s">
        <v>298</v>
      </c>
      <c r="F840" s="28">
        <f>F841+F843</f>
        <v>2973.1</v>
      </c>
      <c r="G840" s="28">
        <f t="shared" ref="G840" si="292">G841+G843</f>
        <v>2972.7000000000003</v>
      </c>
    </row>
    <row r="841" spans="1:7">
      <c r="A841" s="54" t="s">
        <v>13</v>
      </c>
      <c r="B841" s="54" t="s">
        <v>43</v>
      </c>
      <c r="C841" s="54">
        <v>1110410240</v>
      </c>
      <c r="D841" s="1" t="s">
        <v>79</v>
      </c>
      <c r="E841" s="36" t="s">
        <v>80</v>
      </c>
      <c r="F841" s="28">
        <f>F842</f>
        <v>49.300000000000011</v>
      </c>
      <c r="G841" s="28">
        <f t="shared" ref="G841" si="293">G842</f>
        <v>48.9</v>
      </c>
    </row>
    <row r="842" spans="1:7" ht="31.5">
      <c r="A842" s="54" t="s">
        <v>13</v>
      </c>
      <c r="B842" s="54" t="s">
        <v>43</v>
      </c>
      <c r="C842" s="54">
        <v>1110410240</v>
      </c>
      <c r="D842" s="54">
        <v>320</v>
      </c>
      <c r="E842" s="55" t="s">
        <v>121</v>
      </c>
      <c r="F842" s="28">
        <f>214.9-165.6</f>
        <v>49.300000000000011</v>
      </c>
      <c r="G842" s="28">
        <v>48.9</v>
      </c>
    </row>
    <row r="843" spans="1:7" ht="31.5">
      <c r="A843" s="54" t="s">
        <v>13</v>
      </c>
      <c r="B843" s="54" t="s">
        <v>43</v>
      </c>
      <c r="C843" s="54">
        <v>1110410240</v>
      </c>
      <c r="D843" s="56" t="s">
        <v>109</v>
      </c>
      <c r="E843" s="55" t="s">
        <v>110</v>
      </c>
      <c r="F843" s="28">
        <f>F844</f>
        <v>2923.7999999999997</v>
      </c>
      <c r="G843" s="28">
        <f t="shared" ref="G843" si="294">G844</f>
        <v>2923.8</v>
      </c>
    </row>
    <row r="844" spans="1:7">
      <c r="A844" s="54" t="s">
        <v>13</v>
      </c>
      <c r="B844" s="54" t="s">
        <v>43</v>
      </c>
      <c r="C844" s="54">
        <v>1110410240</v>
      </c>
      <c r="D844" s="54">
        <v>610</v>
      </c>
      <c r="E844" s="55" t="s">
        <v>123</v>
      </c>
      <c r="F844" s="28">
        <f>2758.2+165.6</f>
        <v>2923.7999999999997</v>
      </c>
      <c r="G844" s="28">
        <v>2923.8</v>
      </c>
    </row>
    <row r="845" spans="1:7" ht="31.5">
      <c r="A845" s="54" t="s">
        <v>13</v>
      </c>
      <c r="B845" s="54" t="s">
        <v>43</v>
      </c>
      <c r="C845" s="54" t="s">
        <v>227</v>
      </c>
      <c r="D845" s="54"/>
      <c r="E845" s="55" t="s">
        <v>226</v>
      </c>
      <c r="F845" s="28">
        <f t="shared" si="290"/>
        <v>158.69999999999999</v>
      </c>
      <c r="G845" s="28">
        <f t="shared" si="290"/>
        <v>158.69999999999999</v>
      </c>
    </row>
    <row r="846" spans="1:7">
      <c r="A846" s="54" t="s">
        <v>13</v>
      </c>
      <c r="B846" s="54" t="s">
        <v>43</v>
      </c>
      <c r="C846" s="54" t="s">
        <v>227</v>
      </c>
      <c r="D846" s="1" t="s">
        <v>79</v>
      </c>
      <c r="E846" s="36" t="s">
        <v>80</v>
      </c>
      <c r="F846" s="28">
        <f t="shared" si="290"/>
        <v>158.69999999999999</v>
      </c>
      <c r="G846" s="28">
        <f t="shared" si="290"/>
        <v>158.69999999999999</v>
      </c>
    </row>
    <row r="847" spans="1:7" ht="31.5">
      <c r="A847" s="54" t="s">
        <v>13</v>
      </c>
      <c r="B847" s="54" t="s">
        <v>43</v>
      </c>
      <c r="C847" s="54" t="s">
        <v>227</v>
      </c>
      <c r="D847" s="54">
        <v>320</v>
      </c>
      <c r="E847" s="55" t="s">
        <v>121</v>
      </c>
      <c r="F847" s="28">
        <f>168.7-10</f>
        <v>158.69999999999999</v>
      </c>
      <c r="G847" s="28">
        <v>158.69999999999999</v>
      </c>
    </row>
    <row r="848" spans="1:7">
      <c r="A848" s="54" t="s">
        <v>13</v>
      </c>
      <c r="B848" s="54" t="s">
        <v>58</v>
      </c>
      <c r="C848" s="54" t="s">
        <v>72</v>
      </c>
      <c r="D848" s="54" t="s">
        <v>72</v>
      </c>
      <c r="E848" s="55" t="s">
        <v>16</v>
      </c>
      <c r="F848" s="28">
        <f>F849+F861</f>
        <v>7646.2</v>
      </c>
      <c r="G848" s="28">
        <f>G849+G861</f>
        <v>7646.2</v>
      </c>
    </row>
    <row r="849" spans="1:7" ht="32.450000000000003" customHeight="1">
      <c r="A849" s="54" t="s">
        <v>13</v>
      </c>
      <c r="B849" s="54" t="s">
        <v>58</v>
      </c>
      <c r="C849" s="56">
        <v>1100000000</v>
      </c>
      <c r="D849" s="54"/>
      <c r="E849" s="55" t="s">
        <v>236</v>
      </c>
      <c r="F849" s="28">
        <f>F850</f>
        <v>302</v>
      </c>
      <c r="G849" s="28">
        <f t="shared" ref="G849:G859" si="295">G850</f>
        <v>302</v>
      </c>
    </row>
    <row r="850" spans="1:7" ht="31.5">
      <c r="A850" s="54" t="s">
        <v>13</v>
      </c>
      <c r="B850" s="54" t="s">
        <v>58</v>
      </c>
      <c r="C850" s="56">
        <v>1130000000</v>
      </c>
      <c r="D850" s="30"/>
      <c r="E850" s="55" t="s">
        <v>135</v>
      </c>
      <c r="F850" s="28">
        <f>F857+F851</f>
        <v>302</v>
      </c>
      <c r="G850" s="28">
        <f t="shared" ref="G850" si="296">G857+G851</f>
        <v>302</v>
      </c>
    </row>
    <row r="851" spans="1:7" ht="31.5">
      <c r="A851" s="54" t="s">
        <v>13</v>
      </c>
      <c r="B851" s="54" t="s">
        <v>58</v>
      </c>
      <c r="C851" s="54">
        <v>1130100000</v>
      </c>
      <c r="D851" s="30"/>
      <c r="E851" s="55" t="s">
        <v>281</v>
      </c>
      <c r="F851" s="28">
        <f>F852</f>
        <v>169.19999999999996</v>
      </c>
      <c r="G851" s="28">
        <f t="shared" ref="G851:G853" si="297">G852</f>
        <v>169.2</v>
      </c>
    </row>
    <row r="852" spans="1:7" ht="31.5">
      <c r="A852" s="54" t="s">
        <v>13</v>
      </c>
      <c r="B852" s="54" t="s">
        <v>58</v>
      </c>
      <c r="C852" s="56">
        <v>1130120260</v>
      </c>
      <c r="D852" s="30"/>
      <c r="E852" s="55" t="s">
        <v>283</v>
      </c>
      <c r="F852" s="28">
        <f>F853+F855</f>
        <v>169.19999999999996</v>
      </c>
      <c r="G852" s="28">
        <f t="shared" ref="G852" si="298">G853+G855</f>
        <v>169.2</v>
      </c>
    </row>
    <row r="853" spans="1:7" ht="31.5">
      <c r="A853" s="54" t="s">
        <v>13</v>
      </c>
      <c r="B853" s="54" t="s">
        <v>58</v>
      </c>
      <c r="C853" s="56">
        <v>1130120260</v>
      </c>
      <c r="D853" s="54" t="s">
        <v>75</v>
      </c>
      <c r="E853" s="55" t="s">
        <v>107</v>
      </c>
      <c r="F853" s="28">
        <f>F854</f>
        <v>122.29999999999997</v>
      </c>
      <c r="G853" s="28">
        <f t="shared" si="297"/>
        <v>122.3</v>
      </c>
    </row>
    <row r="854" spans="1:7" ht="29.45" customHeight="1">
      <c r="A854" s="54" t="s">
        <v>13</v>
      </c>
      <c r="B854" s="54" t="s">
        <v>58</v>
      </c>
      <c r="C854" s="56">
        <v>1130120260</v>
      </c>
      <c r="D854" s="54">
        <v>240</v>
      </c>
      <c r="E854" s="178" t="s">
        <v>441</v>
      </c>
      <c r="F854" s="28">
        <f>259.9-90.3-47.3</f>
        <v>122.29999999999997</v>
      </c>
      <c r="G854" s="28">
        <v>122.3</v>
      </c>
    </row>
    <row r="855" spans="1:7" ht="16.5" customHeight="1">
      <c r="A855" s="54" t="s">
        <v>13</v>
      </c>
      <c r="B855" s="54" t="s">
        <v>58</v>
      </c>
      <c r="C855" s="56">
        <v>1130120260</v>
      </c>
      <c r="D855" s="1" t="s">
        <v>79</v>
      </c>
      <c r="E855" s="36" t="s">
        <v>80</v>
      </c>
      <c r="F855" s="28">
        <f>F856</f>
        <v>46.9</v>
      </c>
      <c r="G855" s="28">
        <f>G856</f>
        <v>46.9</v>
      </c>
    </row>
    <row r="856" spans="1:7" ht="18" customHeight="1">
      <c r="A856" s="54" t="s">
        <v>13</v>
      </c>
      <c r="B856" s="54" t="s">
        <v>58</v>
      </c>
      <c r="C856" s="56">
        <v>1130120260</v>
      </c>
      <c r="D856" s="54">
        <v>350</v>
      </c>
      <c r="E856" s="55" t="s">
        <v>194</v>
      </c>
      <c r="F856" s="28">
        <f>90.3-43.4</f>
        <v>46.9</v>
      </c>
      <c r="G856" s="28">
        <v>46.9</v>
      </c>
    </row>
    <row r="857" spans="1:7" ht="31.5">
      <c r="A857" s="54" t="s">
        <v>13</v>
      </c>
      <c r="B857" s="54" t="s">
        <v>58</v>
      </c>
      <c r="C857" s="54">
        <v>1130200000</v>
      </c>
      <c r="D857" s="54"/>
      <c r="E857" s="55" t="s">
        <v>228</v>
      </c>
      <c r="F857" s="28">
        <f>F858</f>
        <v>132.80000000000001</v>
      </c>
      <c r="G857" s="28">
        <f t="shared" si="295"/>
        <v>132.80000000000001</v>
      </c>
    </row>
    <row r="858" spans="1:7" ht="31.5">
      <c r="A858" s="54" t="s">
        <v>13</v>
      </c>
      <c r="B858" s="54" t="s">
        <v>58</v>
      </c>
      <c r="C858" s="54">
        <v>1130220270</v>
      </c>
      <c r="D858" s="54"/>
      <c r="E858" s="55" t="s">
        <v>229</v>
      </c>
      <c r="F858" s="28">
        <f>F859</f>
        <v>132.80000000000001</v>
      </c>
      <c r="G858" s="28">
        <f t="shared" si="295"/>
        <v>132.80000000000001</v>
      </c>
    </row>
    <row r="859" spans="1:7" ht="31.5">
      <c r="A859" s="54" t="s">
        <v>13</v>
      </c>
      <c r="B859" s="54" t="s">
        <v>58</v>
      </c>
      <c r="C859" s="54">
        <v>1130220270</v>
      </c>
      <c r="D859" s="54" t="s">
        <v>75</v>
      </c>
      <c r="E859" s="55" t="s">
        <v>107</v>
      </c>
      <c r="F859" s="28">
        <f>F860</f>
        <v>132.80000000000001</v>
      </c>
      <c r="G859" s="28">
        <f t="shared" si="295"/>
        <v>132.80000000000001</v>
      </c>
    </row>
    <row r="860" spans="1:7" ht="33.6" customHeight="1">
      <c r="A860" s="54" t="s">
        <v>13</v>
      </c>
      <c r="B860" s="54" t="s">
        <v>58</v>
      </c>
      <c r="C860" s="54">
        <v>1130220270</v>
      </c>
      <c r="D860" s="54">
        <v>240</v>
      </c>
      <c r="E860" s="178" t="s">
        <v>441</v>
      </c>
      <c r="F860" s="28">
        <f>136.9-4.1</f>
        <v>132.80000000000001</v>
      </c>
      <c r="G860" s="28">
        <v>132.80000000000001</v>
      </c>
    </row>
    <row r="861" spans="1:7">
      <c r="A861" s="54" t="s">
        <v>13</v>
      </c>
      <c r="B861" s="54" t="s">
        <v>58</v>
      </c>
      <c r="C861" s="54">
        <v>9900000000</v>
      </c>
      <c r="D861" s="54"/>
      <c r="E861" s="55" t="s">
        <v>124</v>
      </c>
      <c r="F861" s="28">
        <f>F862</f>
        <v>7344.2</v>
      </c>
      <c r="G861" s="28">
        <f t="shared" ref="G861" si="299">G862</f>
        <v>7344.2</v>
      </c>
    </row>
    <row r="862" spans="1:7" ht="31.5">
      <c r="A862" s="54" t="s">
        <v>13</v>
      </c>
      <c r="B862" s="54" t="s">
        <v>58</v>
      </c>
      <c r="C862" s="54">
        <v>9990000000</v>
      </c>
      <c r="D862" s="54"/>
      <c r="E862" s="55" t="s">
        <v>189</v>
      </c>
      <c r="F862" s="28">
        <f>F863+F869</f>
        <v>7344.2</v>
      </c>
      <c r="G862" s="28">
        <f>G863+G869</f>
        <v>7344.2</v>
      </c>
    </row>
    <row r="863" spans="1:7" ht="31.5">
      <c r="A863" s="54" t="s">
        <v>13</v>
      </c>
      <c r="B863" s="54" t="s">
        <v>58</v>
      </c>
      <c r="C863" s="54">
        <v>9990200000</v>
      </c>
      <c r="D863" s="30"/>
      <c r="E863" s="55" t="s">
        <v>138</v>
      </c>
      <c r="F863" s="28">
        <f>F864</f>
        <v>5084.2</v>
      </c>
      <c r="G863" s="28">
        <f t="shared" ref="G863" si="300">G864</f>
        <v>5084.2</v>
      </c>
    </row>
    <row r="864" spans="1:7" ht="47.25">
      <c r="A864" s="54" t="s">
        <v>13</v>
      </c>
      <c r="B864" s="54" t="s">
        <v>58</v>
      </c>
      <c r="C864" s="54">
        <v>9990225000</v>
      </c>
      <c r="D864" s="54"/>
      <c r="E864" s="55" t="s">
        <v>139</v>
      </c>
      <c r="F864" s="28">
        <f>F865+F867</f>
        <v>5084.2</v>
      </c>
      <c r="G864" s="28">
        <f t="shared" ref="G864" si="301">G865+G867</f>
        <v>5084.2</v>
      </c>
    </row>
    <row r="865" spans="1:7" ht="63">
      <c r="A865" s="54" t="s">
        <v>13</v>
      </c>
      <c r="B865" s="54" t="s">
        <v>58</v>
      </c>
      <c r="C865" s="54">
        <v>9990225000</v>
      </c>
      <c r="D865" s="54" t="s">
        <v>74</v>
      </c>
      <c r="E865" s="55" t="s">
        <v>2</v>
      </c>
      <c r="F865" s="28">
        <f>F866</f>
        <v>5011.3999999999996</v>
      </c>
      <c r="G865" s="28">
        <f t="shared" ref="G865" si="302">G866</f>
        <v>5011.3999999999996</v>
      </c>
    </row>
    <row r="866" spans="1:7" ht="30.75" customHeight="1">
      <c r="A866" s="54" t="s">
        <v>13</v>
      </c>
      <c r="B866" s="54" t="s">
        <v>58</v>
      </c>
      <c r="C866" s="54">
        <v>9990225000</v>
      </c>
      <c r="D866" s="54">
        <v>120</v>
      </c>
      <c r="E866" s="55" t="s">
        <v>443</v>
      </c>
      <c r="F866" s="28">
        <f>4585.7+78.4+347.3</f>
        <v>5011.3999999999996</v>
      </c>
      <c r="G866" s="28">
        <v>5011.3999999999996</v>
      </c>
    </row>
    <row r="867" spans="1:7" ht="18" customHeight="1">
      <c r="A867" s="197" t="s">
        <v>13</v>
      </c>
      <c r="B867" s="197" t="s">
        <v>58</v>
      </c>
      <c r="C867" s="197">
        <v>9990225000</v>
      </c>
      <c r="D867" s="197">
        <v>300</v>
      </c>
      <c r="E867" s="198" t="s">
        <v>80</v>
      </c>
      <c r="F867" s="28">
        <f>F868</f>
        <v>72.8</v>
      </c>
      <c r="G867" s="28">
        <f t="shared" ref="G867" si="303">G868</f>
        <v>72.8</v>
      </c>
    </row>
    <row r="868" spans="1:7" ht="31.5" customHeight="1">
      <c r="A868" s="197" t="s">
        <v>13</v>
      </c>
      <c r="B868" s="197" t="s">
        <v>58</v>
      </c>
      <c r="C868" s="197">
        <v>9990225000</v>
      </c>
      <c r="D868" s="197">
        <v>320</v>
      </c>
      <c r="E868" s="198" t="s">
        <v>121</v>
      </c>
      <c r="F868" s="28">
        <v>72.8</v>
      </c>
      <c r="G868" s="28">
        <v>72.8</v>
      </c>
    </row>
    <row r="869" spans="1:7" ht="31.5">
      <c r="A869" s="54" t="s">
        <v>13</v>
      </c>
      <c r="B869" s="54" t="s">
        <v>58</v>
      </c>
      <c r="C869" s="54">
        <v>9990300000</v>
      </c>
      <c r="D869" s="54"/>
      <c r="E869" s="55" t="s">
        <v>204</v>
      </c>
      <c r="F869" s="28">
        <f>F870+F872+F874</f>
        <v>2260</v>
      </c>
      <c r="G869" s="28">
        <f t="shared" ref="G869" si="304">G870+G872+G874</f>
        <v>2260</v>
      </c>
    </row>
    <row r="870" spans="1:7" ht="63">
      <c r="A870" s="54" t="s">
        <v>13</v>
      </c>
      <c r="B870" s="54" t="s">
        <v>58</v>
      </c>
      <c r="C870" s="54">
        <v>9990300000</v>
      </c>
      <c r="D870" s="54" t="s">
        <v>74</v>
      </c>
      <c r="E870" s="55" t="s">
        <v>2</v>
      </c>
      <c r="F870" s="28">
        <f>F871</f>
        <v>1649.8</v>
      </c>
      <c r="G870" s="28">
        <f t="shared" ref="G870" si="305">G871</f>
        <v>1649.8</v>
      </c>
    </row>
    <row r="871" spans="1:7">
      <c r="A871" s="54" t="s">
        <v>13</v>
      </c>
      <c r="B871" s="54" t="s">
        <v>58</v>
      </c>
      <c r="C871" s="54">
        <v>9990300000</v>
      </c>
      <c r="D871" s="54">
        <v>110</v>
      </c>
      <c r="E871" s="22" t="s">
        <v>205</v>
      </c>
      <c r="F871" s="28">
        <v>1649.8</v>
      </c>
      <c r="G871" s="28">
        <v>1649.8</v>
      </c>
    </row>
    <row r="872" spans="1:7" ht="31.5">
      <c r="A872" s="54" t="s">
        <v>13</v>
      </c>
      <c r="B872" s="54" t="s">
        <v>58</v>
      </c>
      <c r="C872" s="54">
        <v>9990300000</v>
      </c>
      <c r="D872" s="54" t="s">
        <v>75</v>
      </c>
      <c r="E872" s="55" t="s">
        <v>107</v>
      </c>
      <c r="F872" s="28">
        <f>F873</f>
        <v>586</v>
      </c>
      <c r="G872" s="28">
        <f t="shared" ref="G872" si="306">G873</f>
        <v>586</v>
      </c>
    </row>
    <row r="873" spans="1:7" ht="36.6" customHeight="1">
      <c r="A873" s="54" t="s">
        <v>13</v>
      </c>
      <c r="B873" s="54" t="s">
        <v>58</v>
      </c>
      <c r="C873" s="54">
        <v>9990300000</v>
      </c>
      <c r="D873" s="54">
        <v>240</v>
      </c>
      <c r="E873" s="178" t="s">
        <v>441</v>
      </c>
      <c r="F873" s="28">
        <f>522.6+52.6+56.9-4-12.1-30</f>
        <v>586</v>
      </c>
      <c r="G873" s="28">
        <v>586</v>
      </c>
    </row>
    <row r="874" spans="1:7">
      <c r="A874" s="54" t="s">
        <v>13</v>
      </c>
      <c r="B874" s="54" t="s">
        <v>58</v>
      </c>
      <c r="C874" s="54">
        <v>9990300000</v>
      </c>
      <c r="D874" s="54" t="s">
        <v>76</v>
      </c>
      <c r="E874" s="198" t="s">
        <v>77</v>
      </c>
      <c r="F874" s="28">
        <f>F875</f>
        <v>24.200000000000003</v>
      </c>
      <c r="G874" s="28">
        <f t="shared" ref="G874" si="307">G875</f>
        <v>24.2</v>
      </c>
    </row>
    <row r="875" spans="1:7">
      <c r="A875" s="54" t="s">
        <v>13</v>
      </c>
      <c r="B875" s="54" t="s">
        <v>58</v>
      </c>
      <c r="C875" s="54">
        <v>9990300000</v>
      </c>
      <c r="D875" s="54">
        <v>850</v>
      </c>
      <c r="E875" s="55" t="s">
        <v>119</v>
      </c>
      <c r="F875" s="28">
        <f>65-56.9+4+12.1</f>
        <v>24.200000000000003</v>
      </c>
      <c r="G875" s="28">
        <v>24.2</v>
      </c>
    </row>
    <row r="876" spans="1:7">
      <c r="A876" s="54" t="s">
        <v>13</v>
      </c>
      <c r="B876" s="54" t="s">
        <v>44</v>
      </c>
      <c r="C876" s="54" t="s">
        <v>72</v>
      </c>
      <c r="D876" s="54" t="s">
        <v>72</v>
      </c>
      <c r="E876" s="55" t="s">
        <v>36</v>
      </c>
      <c r="F876" s="28">
        <f>F877</f>
        <v>10448.6</v>
      </c>
      <c r="G876" s="28">
        <f t="shared" ref="G876:G880" si="308">G877</f>
        <v>10448.6</v>
      </c>
    </row>
    <row r="877" spans="1:7">
      <c r="A877" s="54" t="s">
        <v>13</v>
      </c>
      <c r="B877" s="54" t="s">
        <v>91</v>
      </c>
      <c r="C877" s="54" t="s">
        <v>72</v>
      </c>
      <c r="D877" s="54" t="s">
        <v>72</v>
      </c>
      <c r="E877" s="55" t="s">
        <v>92</v>
      </c>
      <c r="F877" s="28">
        <f>F878</f>
        <v>10448.6</v>
      </c>
      <c r="G877" s="28">
        <f t="shared" si="308"/>
        <v>10448.6</v>
      </c>
    </row>
    <row r="878" spans="1:7" ht="37.15" customHeight="1">
      <c r="A878" s="54" t="s">
        <v>13</v>
      </c>
      <c r="B878" s="54" t="s">
        <v>91</v>
      </c>
      <c r="C878" s="56">
        <v>1100000000</v>
      </c>
      <c r="D878" s="54"/>
      <c r="E878" s="55" t="s">
        <v>236</v>
      </c>
      <c r="F878" s="28">
        <f>F879</f>
        <v>10448.6</v>
      </c>
      <c r="G878" s="28">
        <f t="shared" si="308"/>
        <v>10448.6</v>
      </c>
    </row>
    <row r="879" spans="1:7">
      <c r="A879" s="54" t="s">
        <v>13</v>
      </c>
      <c r="B879" s="54" t="s">
        <v>91</v>
      </c>
      <c r="C879" s="54">
        <v>1110000000</v>
      </c>
      <c r="D879" s="54"/>
      <c r="E879" s="55" t="s">
        <v>214</v>
      </c>
      <c r="F879" s="28">
        <f>F880</f>
        <v>10448.6</v>
      </c>
      <c r="G879" s="28">
        <f t="shared" si="308"/>
        <v>10448.6</v>
      </c>
    </row>
    <row r="880" spans="1:7" ht="47.25">
      <c r="A880" s="54" t="s">
        <v>13</v>
      </c>
      <c r="B880" s="54" t="s">
        <v>91</v>
      </c>
      <c r="C880" s="54">
        <v>1110200000</v>
      </c>
      <c r="D880" s="54"/>
      <c r="E880" s="55" t="s">
        <v>230</v>
      </c>
      <c r="F880" s="28">
        <f>F881</f>
        <v>10448.6</v>
      </c>
      <c r="G880" s="28">
        <f t="shared" si="308"/>
        <v>10448.6</v>
      </c>
    </row>
    <row r="881" spans="1:7" ht="78.75">
      <c r="A881" s="54" t="s">
        <v>13</v>
      </c>
      <c r="B881" s="54" t="s">
        <v>91</v>
      </c>
      <c r="C881" s="54">
        <v>1110210500</v>
      </c>
      <c r="D881" s="54"/>
      <c r="E881" s="55" t="s">
        <v>305</v>
      </c>
      <c r="F881" s="28">
        <f>F882+F884</f>
        <v>10448.6</v>
      </c>
      <c r="G881" s="28">
        <f t="shared" ref="G881" si="309">G882+G884</f>
        <v>10448.6</v>
      </c>
    </row>
    <row r="882" spans="1:7" ht="31.5">
      <c r="A882" s="54" t="s">
        <v>13</v>
      </c>
      <c r="B882" s="54" t="s">
        <v>91</v>
      </c>
      <c r="C882" s="54">
        <v>1110210500</v>
      </c>
      <c r="D882" s="54" t="s">
        <v>75</v>
      </c>
      <c r="E882" s="55" t="s">
        <v>107</v>
      </c>
      <c r="F882" s="28">
        <f>F883</f>
        <v>244.60000000000002</v>
      </c>
      <c r="G882" s="28">
        <f t="shared" ref="G882" si="310">G883</f>
        <v>244.6</v>
      </c>
    </row>
    <row r="883" spans="1:7" ht="30.6" customHeight="1">
      <c r="A883" s="54" t="s">
        <v>13</v>
      </c>
      <c r="B883" s="54" t="s">
        <v>91</v>
      </c>
      <c r="C883" s="54">
        <v>1110210500</v>
      </c>
      <c r="D883" s="54">
        <v>240</v>
      </c>
      <c r="E883" s="55" t="s">
        <v>441</v>
      </c>
      <c r="F883" s="28">
        <f>254.8-10.2</f>
        <v>244.60000000000002</v>
      </c>
      <c r="G883" s="28">
        <v>244.6</v>
      </c>
    </row>
    <row r="884" spans="1:7">
      <c r="A884" s="54" t="s">
        <v>13</v>
      </c>
      <c r="B884" s="54" t="s">
        <v>91</v>
      </c>
      <c r="C884" s="54">
        <v>1110210500</v>
      </c>
      <c r="D884" s="54" t="s">
        <v>79</v>
      </c>
      <c r="E884" s="55" t="s">
        <v>80</v>
      </c>
      <c r="F884" s="28">
        <f>F885</f>
        <v>10204</v>
      </c>
      <c r="G884" s="28">
        <f t="shared" ref="G884" si="311">G885</f>
        <v>10204</v>
      </c>
    </row>
    <row r="885" spans="1:7" ht="31.5">
      <c r="A885" s="54" t="s">
        <v>13</v>
      </c>
      <c r="B885" s="54" t="s">
        <v>91</v>
      </c>
      <c r="C885" s="54">
        <v>1110210500</v>
      </c>
      <c r="D885" s="1" t="s">
        <v>120</v>
      </c>
      <c r="E885" s="22" t="s">
        <v>121</v>
      </c>
      <c r="F885" s="28">
        <f>10193.8+10.2</f>
        <v>10204</v>
      </c>
      <c r="G885" s="28">
        <v>10204</v>
      </c>
    </row>
    <row r="886" spans="1:7">
      <c r="E886" s="37"/>
    </row>
    <row r="887" spans="1:7">
      <c r="E887" s="37"/>
    </row>
    <row r="888" spans="1:7">
      <c r="E888" s="37"/>
    </row>
  </sheetData>
  <mergeCells count="2">
    <mergeCell ref="B1:G1"/>
    <mergeCell ref="A2:G2"/>
  </mergeCells>
  <pageMargins left="0.78740157480314965" right="0.19685039370078741" top="0.19685039370078741" bottom="0.19685039370078741" header="0.31496062992125984" footer="0.31496062992125984"/>
  <pageSetup paperSize="9" scale="75" fitToHeight="26"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744"/>
  <sheetViews>
    <sheetView workbookViewId="0">
      <selection activeCell="D10" sqref="D10"/>
    </sheetView>
  </sheetViews>
  <sheetFormatPr defaultColWidth="8.85546875" defaultRowHeight="15.75"/>
  <cols>
    <col min="1" max="1" width="7.7109375" style="17" customWidth="1"/>
    <col min="2" max="2" width="15" style="17" customWidth="1"/>
    <col min="3" max="3" width="5.5703125" style="17" customWidth="1"/>
    <col min="4" max="4" width="72.5703125" style="17" customWidth="1"/>
    <col min="5" max="5" width="12.7109375" style="27" customWidth="1"/>
    <col min="6" max="6" width="12.140625" style="27" customWidth="1"/>
    <col min="7" max="7" width="8.85546875" style="4"/>
    <col min="8" max="8" width="13.85546875" style="40" bestFit="1" customWidth="1"/>
    <col min="9" max="9" width="10.42578125" style="40" bestFit="1" customWidth="1"/>
    <col min="10" max="10" width="12.85546875" style="40" customWidth="1"/>
    <col min="11" max="16384" width="8.85546875" style="4"/>
  </cols>
  <sheetData>
    <row r="1" spans="1:6" ht="51.6" customHeight="1">
      <c r="A1" s="341" t="s">
        <v>881</v>
      </c>
      <c r="B1" s="341"/>
      <c r="C1" s="341"/>
      <c r="D1" s="341"/>
      <c r="E1" s="341"/>
      <c r="F1" s="341"/>
    </row>
    <row r="2" spans="1:6" ht="64.150000000000006" customHeight="1">
      <c r="A2" s="344" t="s">
        <v>479</v>
      </c>
      <c r="B2" s="344"/>
      <c r="C2" s="344"/>
      <c r="D2" s="344"/>
      <c r="E2" s="344"/>
      <c r="F2" s="344"/>
    </row>
    <row r="3" spans="1:6">
      <c r="E3" s="345" t="s">
        <v>478</v>
      </c>
      <c r="F3" s="345"/>
    </row>
    <row r="4" spans="1:6" ht="47.25">
      <c r="A4" s="30" t="s">
        <v>41</v>
      </c>
      <c r="B4" s="30" t="s">
        <v>21</v>
      </c>
      <c r="C4" s="30" t="s">
        <v>22</v>
      </c>
      <c r="D4" s="30" t="s">
        <v>23</v>
      </c>
      <c r="E4" s="318" t="s">
        <v>473</v>
      </c>
      <c r="F4" s="318" t="s">
        <v>475</v>
      </c>
    </row>
    <row r="5" spans="1:6">
      <c r="A5" s="211" t="s">
        <v>5</v>
      </c>
      <c r="B5" s="211" t="s">
        <v>83</v>
      </c>
      <c r="C5" s="211" t="s">
        <v>84</v>
      </c>
      <c r="D5" s="211" t="s">
        <v>85</v>
      </c>
      <c r="E5" s="211" t="s">
        <v>86</v>
      </c>
      <c r="F5" s="211" t="s">
        <v>87</v>
      </c>
    </row>
    <row r="6" spans="1:6">
      <c r="A6" s="19" t="s">
        <v>72</v>
      </c>
      <c r="B6" s="19" t="s">
        <v>72</v>
      </c>
      <c r="C6" s="19" t="s">
        <v>72</v>
      </c>
      <c r="D6" s="365" t="s">
        <v>1</v>
      </c>
      <c r="E6" s="366">
        <f>E7+E191+E217+E279+E352+E555+E608+E666+E721+E738</f>
        <v>884454.29999999993</v>
      </c>
      <c r="F6" s="366">
        <f>F7+F191+F217+F279+F352+F555+F608+F666+F721+F738</f>
        <v>817837.30000000016</v>
      </c>
    </row>
    <row r="7" spans="1:6">
      <c r="A7" s="19" t="s">
        <v>60</v>
      </c>
      <c r="B7" s="19" t="s">
        <v>72</v>
      </c>
      <c r="C7" s="19" t="s">
        <v>72</v>
      </c>
      <c r="D7" s="26" t="s">
        <v>25</v>
      </c>
      <c r="E7" s="366">
        <f>E8+E14+E32+E59+E65+E91+E97+E84</f>
        <v>69757.2</v>
      </c>
      <c r="F7" s="366">
        <f>F8+F14+F32+F59+F65+F91+F97+F84</f>
        <v>69210.899999999994</v>
      </c>
    </row>
    <row r="8" spans="1:6" ht="30" customHeight="1">
      <c r="A8" s="211" t="s">
        <v>48</v>
      </c>
      <c r="B8" s="211" t="s">
        <v>72</v>
      </c>
      <c r="C8" s="211" t="s">
        <v>72</v>
      </c>
      <c r="D8" s="367" t="s">
        <v>65</v>
      </c>
      <c r="E8" s="21">
        <f>E9</f>
        <v>1731.3999999999999</v>
      </c>
      <c r="F8" s="21">
        <f t="shared" ref="F8:F12" si="0">F9</f>
        <v>1731.4</v>
      </c>
    </row>
    <row r="9" spans="1:6">
      <c r="A9" s="211" t="s">
        <v>48</v>
      </c>
      <c r="B9" s="211">
        <v>9900000000</v>
      </c>
      <c r="C9" s="211"/>
      <c r="D9" s="30" t="s">
        <v>124</v>
      </c>
      <c r="E9" s="21">
        <f>E10</f>
        <v>1731.3999999999999</v>
      </c>
      <c r="F9" s="21">
        <f t="shared" si="0"/>
        <v>1731.4</v>
      </c>
    </row>
    <row r="10" spans="1:6" ht="31.5">
      <c r="A10" s="211" t="s">
        <v>48</v>
      </c>
      <c r="B10" s="211">
        <v>9990000000</v>
      </c>
      <c r="C10" s="211"/>
      <c r="D10" s="30" t="s">
        <v>189</v>
      </c>
      <c r="E10" s="21">
        <f>E11</f>
        <v>1731.3999999999999</v>
      </c>
      <c r="F10" s="21">
        <f t="shared" si="0"/>
        <v>1731.4</v>
      </c>
    </row>
    <row r="11" spans="1:6">
      <c r="A11" s="211" t="s">
        <v>48</v>
      </c>
      <c r="B11" s="211">
        <v>9990021000</v>
      </c>
      <c r="C11" s="30"/>
      <c r="D11" s="30" t="s">
        <v>190</v>
      </c>
      <c r="E11" s="21">
        <f>E12</f>
        <v>1731.3999999999999</v>
      </c>
      <c r="F11" s="21">
        <f t="shared" si="0"/>
        <v>1731.4</v>
      </c>
    </row>
    <row r="12" spans="1:6" ht="63">
      <c r="A12" s="211" t="s">
        <v>48</v>
      </c>
      <c r="B12" s="211">
        <v>9990021000</v>
      </c>
      <c r="C12" s="211" t="s">
        <v>74</v>
      </c>
      <c r="D12" s="30" t="s">
        <v>2</v>
      </c>
      <c r="E12" s="21">
        <f>E13</f>
        <v>1731.3999999999999</v>
      </c>
      <c r="F12" s="21">
        <f t="shared" si="0"/>
        <v>1731.4</v>
      </c>
    </row>
    <row r="13" spans="1:6" ht="31.9" customHeight="1">
      <c r="A13" s="211" t="s">
        <v>48</v>
      </c>
      <c r="B13" s="211">
        <v>9990021000</v>
      </c>
      <c r="C13" s="211">
        <v>120</v>
      </c>
      <c r="D13" s="30" t="s">
        <v>443</v>
      </c>
      <c r="E13" s="21">
        <f>№6!F14</f>
        <v>1731.3999999999999</v>
      </c>
      <c r="F13" s="21">
        <f>№6!G14</f>
        <v>1731.4</v>
      </c>
    </row>
    <row r="14" spans="1:6" ht="48" customHeight="1">
      <c r="A14" s="211" t="s">
        <v>49</v>
      </c>
      <c r="B14" s="211" t="s">
        <v>72</v>
      </c>
      <c r="C14" s="211" t="s">
        <v>72</v>
      </c>
      <c r="D14" s="367" t="s">
        <v>26</v>
      </c>
      <c r="E14" s="21">
        <f>E15</f>
        <v>3614.5</v>
      </c>
      <c r="F14" s="21">
        <f t="shared" ref="F14:F16" si="1">F15</f>
        <v>3614.5</v>
      </c>
    </row>
    <row r="15" spans="1:6">
      <c r="A15" s="211" t="s">
        <v>49</v>
      </c>
      <c r="B15" s="201" t="s">
        <v>129</v>
      </c>
      <c r="C15" s="201" t="s">
        <v>72</v>
      </c>
      <c r="D15" s="212" t="s">
        <v>124</v>
      </c>
      <c r="E15" s="21">
        <f>E16</f>
        <v>3614.5</v>
      </c>
      <c r="F15" s="21">
        <f t="shared" si="1"/>
        <v>3614.5</v>
      </c>
    </row>
    <row r="16" spans="1:6" ht="31.5">
      <c r="A16" s="211" t="s">
        <v>49</v>
      </c>
      <c r="B16" s="211">
        <v>9990000000</v>
      </c>
      <c r="C16" s="211"/>
      <c r="D16" s="30" t="s">
        <v>189</v>
      </c>
      <c r="E16" s="21">
        <f>E17</f>
        <v>3614.5</v>
      </c>
      <c r="F16" s="21">
        <f t="shared" si="1"/>
        <v>3614.5</v>
      </c>
    </row>
    <row r="17" spans="1:6" ht="31.5">
      <c r="A17" s="211" t="s">
        <v>49</v>
      </c>
      <c r="B17" s="211">
        <v>9990100000</v>
      </c>
      <c r="C17" s="211"/>
      <c r="D17" s="30" t="s">
        <v>211</v>
      </c>
      <c r="E17" s="21">
        <f>E24+E27+E18+E21</f>
        <v>3614.5</v>
      </c>
      <c r="F17" s="21">
        <f>F24+F27+F18+F21</f>
        <v>3614.5</v>
      </c>
    </row>
    <row r="18" spans="1:6" ht="47.25">
      <c r="A18" s="211" t="s">
        <v>49</v>
      </c>
      <c r="B18" s="211">
        <v>9990110200</v>
      </c>
      <c r="C18" s="211"/>
      <c r="D18" s="212" t="s">
        <v>349</v>
      </c>
      <c r="E18" s="21">
        <f>E19</f>
        <v>50.9</v>
      </c>
      <c r="F18" s="21">
        <f t="shared" ref="F18:F19" si="2">F19</f>
        <v>50.9</v>
      </c>
    </row>
    <row r="19" spans="1:6" ht="63">
      <c r="A19" s="211" t="s">
        <v>49</v>
      </c>
      <c r="B19" s="211">
        <v>9990110200</v>
      </c>
      <c r="C19" s="201" t="s">
        <v>74</v>
      </c>
      <c r="D19" s="212" t="s">
        <v>2</v>
      </c>
      <c r="E19" s="21">
        <f>E20</f>
        <v>50.9</v>
      </c>
      <c r="F19" s="21">
        <f t="shared" si="2"/>
        <v>50.9</v>
      </c>
    </row>
    <row r="20" spans="1:6" ht="31.5">
      <c r="A20" s="211" t="s">
        <v>49</v>
      </c>
      <c r="B20" s="211">
        <v>9990110200</v>
      </c>
      <c r="C20" s="211">
        <v>120</v>
      </c>
      <c r="D20" s="212" t="s">
        <v>443</v>
      </c>
      <c r="E20" s="21">
        <f>№6!F628</f>
        <v>50.9</v>
      </c>
      <c r="F20" s="21">
        <f>№6!G628</f>
        <v>50.9</v>
      </c>
    </row>
    <row r="21" spans="1:6" ht="47.25">
      <c r="A21" s="211" t="s">
        <v>49</v>
      </c>
      <c r="B21" s="211" t="s">
        <v>471</v>
      </c>
      <c r="C21" s="211"/>
      <c r="D21" s="212" t="s">
        <v>354</v>
      </c>
      <c r="E21" s="21">
        <f>E22</f>
        <v>5.0999999999999996</v>
      </c>
      <c r="F21" s="21">
        <f t="shared" ref="F21:F22" si="3">F22</f>
        <v>5.0999999999999996</v>
      </c>
    </row>
    <row r="22" spans="1:6" ht="63">
      <c r="A22" s="211" t="s">
        <v>49</v>
      </c>
      <c r="B22" s="211" t="s">
        <v>471</v>
      </c>
      <c r="C22" s="201" t="s">
        <v>74</v>
      </c>
      <c r="D22" s="212" t="s">
        <v>2</v>
      </c>
      <c r="E22" s="21">
        <f>E23</f>
        <v>5.0999999999999996</v>
      </c>
      <c r="F22" s="21">
        <f t="shared" si="3"/>
        <v>5.0999999999999996</v>
      </c>
    </row>
    <row r="23" spans="1:6" ht="31.5">
      <c r="A23" s="211" t="s">
        <v>49</v>
      </c>
      <c r="B23" s="211" t="s">
        <v>471</v>
      </c>
      <c r="C23" s="211">
        <v>120</v>
      </c>
      <c r="D23" s="212" t="s">
        <v>443</v>
      </c>
      <c r="E23" s="21">
        <f>№6!F631</f>
        <v>5.0999999999999996</v>
      </c>
      <c r="F23" s="21">
        <f>№6!G631</f>
        <v>5.0999999999999996</v>
      </c>
    </row>
    <row r="24" spans="1:6">
      <c r="A24" s="211" t="s">
        <v>49</v>
      </c>
      <c r="B24" s="211">
        <v>9990122000</v>
      </c>
      <c r="C24" s="211"/>
      <c r="D24" s="30" t="s">
        <v>212</v>
      </c>
      <c r="E24" s="21">
        <f>E25</f>
        <v>854.49999999999989</v>
      </c>
      <c r="F24" s="21">
        <f t="shared" ref="F24:F25" si="4">F25</f>
        <v>854.5</v>
      </c>
    </row>
    <row r="25" spans="1:6" ht="63">
      <c r="A25" s="211" t="s">
        <v>49</v>
      </c>
      <c r="B25" s="211">
        <v>9990122000</v>
      </c>
      <c r="C25" s="201" t="s">
        <v>74</v>
      </c>
      <c r="D25" s="212" t="s">
        <v>2</v>
      </c>
      <c r="E25" s="21">
        <f>E26</f>
        <v>854.49999999999989</v>
      </c>
      <c r="F25" s="21">
        <f t="shared" si="4"/>
        <v>854.5</v>
      </c>
    </row>
    <row r="26" spans="1:6" ht="33.6" customHeight="1">
      <c r="A26" s="211" t="s">
        <v>49</v>
      </c>
      <c r="B26" s="211">
        <v>9990122000</v>
      </c>
      <c r="C26" s="211">
        <v>120</v>
      </c>
      <c r="D26" s="30" t="s">
        <v>443</v>
      </c>
      <c r="E26" s="21">
        <f>№6!F634</f>
        <v>854.49999999999989</v>
      </c>
      <c r="F26" s="21">
        <f>№6!G634</f>
        <v>854.5</v>
      </c>
    </row>
    <row r="27" spans="1:6" ht="31.5">
      <c r="A27" s="211" t="s">
        <v>49</v>
      </c>
      <c r="B27" s="211">
        <v>9990123000</v>
      </c>
      <c r="C27" s="211"/>
      <c r="D27" s="30" t="s">
        <v>213</v>
      </c>
      <c r="E27" s="21">
        <f>E28+E30</f>
        <v>2704</v>
      </c>
      <c r="F27" s="21">
        <f>F28+F30</f>
        <v>2704</v>
      </c>
    </row>
    <row r="28" spans="1:6" ht="63">
      <c r="A28" s="211" t="s">
        <v>49</v>
      </c>
      <c r="B28" s="211">
        <v>9990123000</v>
      </c>
      <c r="C28" s="211" t="s">
        <v>74</v>
      </c>
      <c r="D28" s="30" t="s">
        <v>2</v>
      </c>
      <c r="E28" s="21">
        <f>E29</f>
        <v>2181.7000000000003</v>
      </c>
      <c r="F28" s="21">
        <f t="shared" ref="F28" si="5">F29</f>
        <v>2181.6999999999998</v>
      </c>
    </row>
    <row r="29" spans="1:6" ht="32.450000000000003" customHeight="1">
      <c r="A29" s="211" t="s">
        <v>49</v>
      </c>
      <c r="B29" s="211">
        <v>9990123000</v>
      </c>
      <c r="C29" s="211">
        <v>120</v>
      </c>
      <c r="D29" s="30" t="s">
        <v>443</v>
      </c>
      <c r="E29" s="21">
        <f>№6!F637</f>
        <v>2181.7000000000003</v>
      </c>
      <c r="F29" s="21">
        <f>№6!G637</f>
        <v>2181.6999999999998</v>
      </c>
    </row>
    <row r="30" spans="1:6" ht="36" customHeight="1">
      <c r="A30" s="211" t="s">
        <v>49</v>
      </c>
      <c r="B30" s="211">
        <v>9990123000</v>
      </c>
      <c r="C30" s="201" t="s">
        <v>75</v>
      </c>
      <c r="D30" s="212" t="s">
        <v>107</v>
      </c>
      <c r="E30" s="21">
        <f>E31</f>
        <v>522.29999999999995</v>
      </c>
      <c r="F30" s="21">
        <f t="shared" ref="F30" si="6">F31</f>
        <v>522.29999999999995</v>
      </c>
    </row>
    <row r="31" spans="1:6" ht="33" customHeight="1">
      <c r="A31" s="211" t="s">
        <v>49</v>
      </c>
      <c r="B31" s="211">
        <v>9990123000</v>
      </c>
      <c r="C31" s="211">
        <v>240</v>
      </c>
      <c r="D31" s="212" t="s">
        <v>441</v>
      </c>
      <c r="E31" s="21">
        <f>№6!F639</f>
        <v>522.29999999999995</v>
      </c>
      <c r="F31" s="21">
        <f>№6!G639</f>
        <v>522.29999999999995</v>
      </c>
    </row>
    <row r="32" spans="1:6" ht="47.25">
      <c r="A32" s="211" t="s">
        <v>50</v>
      </c>
      <c r="B32" s="211" t="s">
        <v>72</v>
      </c>
      <c r="C32" s="211" t="s">
        <v>72</v>
      </c>
      <c r="D32" s="30" t="s">
        <v>27</v>
      </c>
      <c r="E32" s="21">
        <f>E33</f>
        <v>25057.599999999995</v>
      </c>
      <c r="F32" s="21">
        <f t="shared" ref="F32" si="7">F33</f>
        <v>25032.7</v>
      </c>
    </row>
    <row r="33" spans="1:6">
      <c r="A33" s="211" t="s">
        <v>50</v>
      </c>
      <c r="B33" s="211">
        <v>9900000000</v>
      </c>
      <c r="C33" s="211"/>
      <c r="D33" s="30" t="s">
        <v>124</v>
      </c>
      <c r="E33" s="21">
        <f>E34</f>
        <v>25057.599999999995</v>
      </c>
      <c r="F33" s="21">
        <f>F34</f>
        <v>25032.7</v>
      </c>
    </row>
    <row r="34" spans="1:6" ht="31.5">
      <c r="A34" s="211" t="s">
        <v>50</v>
      </c>
      <c r="B34" s="211">
        <v>9990000000</v>
      </c>
      <c r="C34" s="211"/>
      <c r="D34" s="30" t="s">
        <v>189</v>
      </c>
      <c r="E34" s="21">
        <f>E35</f>
        <v>25057.599999999995</v>
      </c>
      <c r="F34" s="21">
        <f>F35</f>
        <v>25032.7</v>
      </c>
    </row>
    <row r="35" spans="1:6" ht="31.5">
      <c r="A35" s="211" t="s">
        <v>50</v>
      </c>
      <c r="B35" s="211">
        <v>9990200000</v>
      </c>
      <c r="C35" s="30"/>
      <c r="D35" s="30" t="s">
        <v>138</v>
      </c>
      <c r="E35" s="21">
        <f>E47+E56+E39+E36+E44</f>
        <v>25057.599999999995</v>
      </c>
      <c r="F35" s="21">
        <f>F47+F56+F39+F36+F44</f>
        <v>25032.7</v>
      </c>
    </row>
    <row r="36" spans="1:6" ht="47.25">
      <c r="A36" s="211" t="s">
        <v>50</v>
      </c>
      <c r="B36" s="211">
        <v>9990210200</v>
      </c>
      <c r="C36" s="30"/>
      <c r="D36" s="212" t="s">
        <v>349</v>
      </c>
      <c r="E36" s="21">
        <f>E37</f>
        <v>70.2</v>
      </c>
      <c r="F36" s="21">
        <f t="shared" ref="F36:F37" si="8">F37</f>
        <v>70.2</v>
      </c>
    </row>
    <row r="37" spans="1:6" ht="63">
      <c r="A37" s="211" t="s">
        <v>50</v>
      </c>
      <c r="B37" s="211">
        <v>9990210200</v>
      </c>
      <c r="C37" s="211" t="s">
        <v>74</v>
      </c>
      <c r="D37" s="212" t="s">
        <v>2</v>
      </c>
      <c r="E37" s="21">
        <f>E38</f>
        <v>70.2</v>
      </c>
      <c r="F37" s="21">
        <f t="shared" si="8"/>
        <v>70.2</v>
      </c>
    </row>
    <row r="38" spans="1:6" ht="31.5">
      <c r="A38" s="211" t="s">
        <v>50</v>
      </c>
      <c r="B38" s="211">
        <v>9990210200</v>
      </c>
      <c r="C38" s="211">
        <v>120</v>
      </c>
      <c r="D38" s="212" t="s">
        <v>443</v>
      </c>
      <c r="E38" s="21">
        <f>№6!F21</f>
        <v>70.2</v>
      </c>
      <c r="F38" s="21">
        <f>№6!G21</f>
        <v>70.2</v>
      </c>
    </row>
    <row r="39" spans="1:6" ht="47.25">
      <c r="A39" s="211" t="s">
        <v>50</v>
      </c>
      <c r="B39" s="211">
        <v>9990210510</v>
      </c>
      <c r="C39" s="211"/>
      <c r="D39" s="30" t="s">
        <v>192</v>
      </c>
      <c r="E39" s="21">
        <f>E40+E42</f>
        <v>650</v>
      </c>
      <c r="F39" s="21">
        <f t="shared" ref="F39" si="9">F40+F42</f>
        <v>650</v>
      </c>
    </row>
    <row r="40" spans="1:6" ht="63">
      <c r="A40" s="211" t="s">
        <v>50</v>
      </c>
      <c r="B40" s="211">
        <v>9990210510</v>
      </c>
      <c r="C40" s="211" t="s">
        <v>74</v>
      </c>
      <c r="D40" s="30" t="s">
        <v>2</v>
      </c>
      <c r="E40" s="21">
        <f>E41</f>
        <v>575</v>
      </c>
      <c r="F40" s="21">
        <f t="shared" ref="F40" si="10">F41</f>
        <v>575</v>
      </c>
    </row>
    <row r="41" spans="1:6" ht="31.5">
      <c r="A41" s="211" t="s">
        <v>50</v>
      </c>
      <c r="B41" s="211">
        <v>9990210510</v>
      </c>
      <c r="C41" s="211">
        <v>120</v>
      </c>
      <c r="D41" s="30" t="s">
        <v>443</v>
      </c>
      <c r="E41" s="21">
        <f>№6!F24</f>
        <v>575</v>
      </c>
      <c r="F41" s="21">
        <f>№6!G24</f>
        <v>575</v>
      </c>
    </row>
    <row r="42" spans="1:6" ht="31.5">
      <c r="A42" s="211" t="s">
        <v>50</v>
      </c>
      <c r="B42" s="211">
        <v>9990210510</v>
      </c>
      <c r="C42" s="211" t="s">
        <v>75</v>
      </c>
      <c r="D42" s="30" t="s">
        <v>107</v>
      </c>
      <c r="E42" s="21">
        <f>E43</f>
        <v>75</v>
      </c>
      <c r="F42" s="21">
        <f t="shared" ref="F42" si="11">F43</f>
        <v>75</v>
      </c>
    </row>
    <row r="43" spans="1:6" ht="31.5">
      <c r="A43" s="211" t="s">
        <v>50</v>
      </c>
      <c r="B43" s="211">
        <v>9990210510</v>
      </c>
      <c r="C43" s="211">
        <v>240</v>
      </c>
      <c r="D43" s="212" t="s">
        <v>441</v>
      </c>
      <c r="E43" s="21">
        <f>№6!F26</f>
        <v>75</v>
      </c>
      <c r="F43" s="21">
        <f>№6!G26</f>
        <v>75</v>
      </c>
    </row>
    <row r="44" spans="1:6" ht="47.25">
      <c r="A44" s="211" t="s">
        <v>50</v>
      </c>
      <c r="B44" s="211" t="s">
        <v>470</v>
      </c>
      <c r="C44" s="211"/>
      <c r="D44" s="212" t="s">
        <v>354</v>
      </c>
      <c r="E44" s="21">
        <f>E45</f>
        <v>7</v>
      </c>
      <c r="F44" s="21">
        <f t="shared" ref="F44:F45" si="12">F45</f>
        <v>7</v>
      </c>
    </row>
    <row r="45" spans="1:6" ht="63">
      <c r="A45" s="211" t="s">
        <v>50</v>
      </c>
      <c r="B45" s="211" t="s">
        <v>470</v>
      </c>
      <c r="C45" s="211" t="s">
        <v>74</v>
      </c>
      <c r="D45" s="212" t="s">
        <v>2</v>
      </c>
      <c r="E45" s="21">
        <f>E46</f>
        <v>7</v>
      </c>
      <c r="F45" s="21">
        <f t="shared" si="12"/>
        <v>7</v>
      </c>
    </row>
    <row r="46" spans="1:6" ht="31.5">
      <c r="A46" s="211" t="s">
        <v>50</v>
      </c>
      <c r="B46" s="211" t="s">
        <v>470</v>
      </c>
      <c r="C46" s="211">
        <v>120</v>
      </c>
      <c r="D46" s="212" t="s">
        <v>443</v>
      </c>
      <c r="E46" s="21">
        <f>№6!F29</f>
        <v>7</v>
      </c>
      <c r="F46" s="21">
        <f>№6!G29</f>
        <v>7</v>
      </c>
    </row>
    <row r="47" spans="1:6" ht="56.45" customHeight="1">
      <c r="A47" s="211" t="s">
        <v>50</v>
      </c>
      <c r="B47" s="211">
        <v>9990225000</v>
      </c>
      <c r="C47" s="211"/>
      <c r="D47" s="30" t="s">
        <v>139</v>
      </c>
      <c r="E47" s="21">
        <f>E48+E50+E54+E52</f>
        <v>24227.399999999994</v>
      </c>
      <c r="F47" s="21">
        <f t="shared" ref="F47" si="13">F48+F50+F54+F52</f>
        <v>24202.5</v>
      </c>
    </row>
    <row r="48" spans="1:6" ht="63">
      <c r="A48" s="211" t="s">
        <v>50</v>
      </c>
      <c r="B48" s="211">
        <v>9990225000</v>
      </c>
      <c r="C48" s="211" t="s">
        <v>74</v>
      </c>
      <c r="D48" s="30" t="s">
        <v>2</v>
      </c>
      <c r="E48" s="21">
        <f>E49</f>
        <v>22161.499999999996</v>
      </c>
      <c r="F48" s="21">
        <f t="shared" ref="F48" si="14">F49</f>
        <v>22161.5</v>
      </c>
    </row>
    <row r="49" spans="1:6" ht="32.450000000000003" customHeight="1">
      <c r="A49" s="211" t="s">
        <v>50</v>
      </c>
      <c r="B49" s="211">
        <v>9990225000</v>
      </c>
      <c r="C49" s="211">
        <v>120</v>
      </c>
      <c r="D49" s="30" t="s">
        <v>443</v>
      </c>
      <c r="E49" s="21">
        <f>№6!F32</f>
        <v>22161.499999999996</v>
      </c>
      <c r="F49" s="21">
        <f>№6!G32</f>
        <v>22161.5</v>
      </c>
    </row>
    <row r="50" spans="1:6" ht="31.5">
      <c r="A50" s="211" t="s">
        <v>50</v>
      </c>
      <c r="B50" s="211">
        <v>9990225000</v>
      </c>
      <c r="C50" s="211" t="s">
        <v>75</v>
      </c>
      <c r="D50" s="30" t="s">
        <v>107</v>
      </c>
      <c r="E50" s="21">
        <f>E51</f>
        <v>1857.3000000000002</v>
      </c>
      <c r="F50" s="21">
        <f t="shared" ref="F50" si="15">F51</f>
        <v>1832.4</v>
      </c>
    </row>
    <row r="51" spans="1:6" ht="35.450000000000003" customHeight="1">
      <c r="A51" s="211" t="s">
        <v>50</v>
      </c>
      <c r="B51" s="211">
        <v>9990225000</v>
      </c>
      <c r="C51" s="211">
        <v>240</v>
      </c>
      <c r="D51" s="212" t="s">
        <v>441</v>
      </c>
      <c r="E51" s="21">
        <f>№6!F34</f>
        <v>1857.3000000000002</v>
      </c>
      <c r="F51" s="21">
        <f>№6!G34</f>
        <v>1832.4</v>
      </c>
    </row>
    <row r="52" spans="1:6" ht="17.25" customHeight="1">
      <c r="A52" s="211" t="s">
        <v>50</v>
      </c>
      <c r="B52" s="211">
        <v>9990225000</v>
      </c>
      <c r="C52" s="211">
        <v>300</v>
      </c>
      <c r="D52" s="212" t="s">
        <v>80</v>
      </c>
      <c r="E52" s="21">
        <f>E53</f>
        <v>129.30000000000001</v>
      </c>
      <c r="F52" s="21">
        <f t="shared" ref="F52" si="16">F53</f>
        <v>129.30000000000001</v>
      </c>
    </row>
    <row r="53" spans="1:6" ht="29.25" customHeight="1">
      <c r="A53" s="211" t="s">
        <v>50</v>
      </c>
      <c r="B53" s="211">
        <v>9990225000</v>
      </c>
      <c r="C53" s="211">
        <v>320</v>
      </c>
      <c r="D53" s="212" t="s">
        <v>121</v>
      </c>
      <c r="E53" s="21">
        <f>№6!F36</f>
        <v>129.30000000000001</v>
      </c>
      <c r="F53" s="21">
        <f>№6!G36</f>
        <v>129.30000000000001</v>
      </c>
    </row>
    <row r="54" spans="1:6">
      <c r="A54" s="211" t="s">
        <v>50</v>
      </c>
      <c r="B54" s="211">
        <v>9990225000</v>
      </c>
      <c r="C54" s="211" t="s">
        <v>76</v>
      </c>
      <c r="D54" s="30" t="s">
        <v>77</v>
      </c>
      <c r="E54" s="21">
        <f>E55</f>
        <v>79.300000000000011</v>
      </c>
      <c r="F54" s="21">
        <f t="shared" ref="F54" si="17">F55</f>
        <v>79.3</v>
      </c>
    </row>
    <row r="55" spans="1:6">
      <c r="A55" s="211" t="s">
        <v>50</v>
      </c>
      <c r="B55" s="211">
        <v>9990225000</v>
      </c>
      <c r="C55" s="211">
        <v>850</v>
      </c>
      <c r="D55" s="30" t="s">
        <v>119</v>
      </c>
      <c r="E55" s="21">
        <f>№6!F38</f>
        <v>79.300000000000011</v>
      </c>
      <c r="F55" s="21">
        <f>№6!G38</f>
        <v>79.3</v>
      </c>
    </row>
    <row r="56" spans="1:6" ht="47.25" customHeight="1">
      <c r="A56" s="211" t="s">
        <v>50</v>
      </c>
      <c r="B56" s="211">
        <v>9990226000</v>
      </c>
      <c r="C56" s="211"/>
      <c r="D56" s="30" t="s">
        <v>191</v>
      </c>
      <c r="E56" s="21">
        <f>E57</f>
        <v>103</v>
      </c>
      <c r="F56" s="21">
        <f t="shared" ref="F56:F57" si="18">F57</f>
        <v>103</v>
      </c>
    </row>
    <row r="57" spans="1:6" ht="63">
      <c r="A57" s="211" t="s">
        <v>50</v>
      </c>
      <c r="B57" s="211">
        <v>9990226000</v>
      </c>
      <c r="C57" s="211" t="s">
        <v>74</v>
      </c>
      <c r="D57" s="30" t="s">
        <v>2</v>
      </c>
      <c r="E57" s="21">
        <f>E58</f>
        <v>103</v>
      </c>
      <c r="F57" s="21">
        <f t="shared" si="18"/>
        <v>103</v>
      </c>
    </row>
    <row r="58" spans="1:6" ht="33.6" customHeight="1">
      <c r="A58" s="211" t="s">
        <v>50</v>
      </c>
      <c r="B58" s="211">
        <v>9990226000</v>
      </c>
      <c r="C58" s="211">
        <v>120</v>
      </c>
      <c r="D58" s="30" t="s">
        <v>443</v>
      </c>
      <c r="E58" s="21">
        <f>№6!F41</f>
        <v>103</v>
      </c>
      <c r="F58" s="21">
        <f>№6!G41</f>
        <v>103</v>
      </c>
    </row>
    <row r="59" spans="1:6" ht="17.25" customHeight="1">
      <c r="A59" s="10" t="s">
        <v>200</v>
      </c>
      <c r="B59" s="11"/>
      <c r="C59" s="14"/>
      <c r="D59" s="9" t="s">
        <v>201</v>
      </c>
      <c r="E59" s="21">
        <f>E60</f>
        <v>145</v>
      </c>
      <c r="F59" s="21">
        <f t="shared" ref="F59:F63" si="19">F60</f>
        <v>18.7</v>
      </c>
    </row>
    <row r="60" spans="1:6" ht="15.75" customHeight="1">
      <c r="A60" s="10" t="s">
        <v>200</v>
      </c>
      <c r="B60" s="211">
        <v>9900000000</v>
      </c>
      <c r="C60" s="211"/>
      <c r="D60" s="30" t="s">
        <v>124</v>
      </c>
      <c r="E60" s="21">
        <f>E61</f>
        <v>145</v>
      </c>
      <c r="F60" s="21">
        <f t="shared" si="19"/>
        <v>18.7</v>
      </c>
    </row>
    <row r="61" spans="1:6" ht="32.25" customHeight="1">
      <c r="A61" s="10" t="s">
        <v>200</v>
      </c>
      <c r="B61" s="211">
        <v>9930000000</v>
      </c>
      <c r="C61" s="211"/>
      <c r="D61" s="30" t="s">
        <v>202</v>
      </c>
      <c r="E61" s="21">
        <f>E62</f>
        <v>145</v>
      </c>
      <c r="F61" s="21">
        <f t="shared" si="19"/>
        <v>18.7</v>
      </c>
    </row>
    <row r="62" spans="1:6" ht="45.75" customHeight="1">
      <c r="A62" s="10" t="s">
        <v>200</v>
      </c>
      <c r="B62" s="211">
        <v>9930051200</v>
      </c>
      <c r="C62" s="211"/>
      <c r="D62" s="30" t="s">
        <v>203</v>
      </c>
      <c r="E62" s="21">
        <f>E63</f>
        <v>145</v>
      </c>
      <c r="F62" s="21">
        <f t="shared" si="19"/>
        <v>18.7</v>
      </c>
    </row>
    <row r="63" spans="1:6" ht="32.25" customHeight="1">
      <c r="A63" s="10" t="s">
        <v>200</v>
      </c>
      <c r="B63" s="211">
        <v>9930051200</v>
      </c>
      <c r="C63" s="211" t="s">
        <v>75</v>
      </c>
      <c r="D63" s="30" t="s">
        <v>107</v>
      </c>
      <c r="E63" s="21">
        <f>E64</f>
        <v>145</v>
      </c>
      <c r="F63" s="21">
        <f t="shared" si="19"/>
        <v>18.7</v>
      </c>
    </row>
    <row r="64" spans="1:6" ht="31.9" customHeight="1">
      <c r="A64" s="10" t="s">
        <v>200</v>
      </c>
      <c r="B64" s="211">
        <v>9930051200</v>
      </c>
      <c r="C64" s="211">
        <v>240</v>
      </c>
      <c r="D64" s="212" t="s">
        <v>441</v>
      </c>
      <c r="E64" s="21">
        <f>№6!F47</f>
        <v>145</v>
      </c>
      <c r="F64" s="21">
        <f>№6!G47</f>
        <v>18.7</v>
      </c>
    </row>
    <row r="65" spans="1:6" ht="33.75" customHeight="1">
      <c r="A65" s="211" t="s">
        <v>51</v>
      </c>
      <c r="B65" s="211" t="s">
        <v>72</v>
      </c>
      <c r="C65" s="211" t="s">
        <v>72</v>
      </c>
      <c r="D65" s="30" t="s">
        <v>11</v>
      </c>
      <c r="E65" s="21">
        <f>E66</f>
        <v>7379</v>
      </c>
      <c r="F65" s="21">
        <f t="shared" ref="F65:F67" si="20">F66</f>
        <v>7378.9999999999991</v>
      </c>
    </row>
    <row r="66" spans="1:6">
      <c r="A66" s="211" t="s">
        <v>51</v>
      </c>
      <c r="B66" s="211">
        <v>9900000000</v>
      </c>
      <c r="C66" s="211"/>
      <c r="D66" s="30" t="s">
        <v>124</v>
      </c>
      <c r="E66" s="21">
        <f>E67</f>
        <v>7379</v>
      </c>
      <c r="F66" s="21">
        <f t="shared" si="20"/>
        <v>7378.9999999999991</v>
      </c>
    </row>
    <row r="67" spans="1:6" ht="31.5">
      <c r="A67" s="211" t="s">
        <v>51</v>
      </c>
      <c r="B67" s="211">
        <v>9990000000</v>
      </c>
      <c r="C67" s="211"/>
      <c r="D67" s="30" t="s">
        <v>189</v>
      </c>
      <c r="E67" s="21">
        <f>E68</f>
        <v>7379</v>
      </c>
      <c r="F67" s="21">
        <f t="shared" si="20"/>
        <v>7378.9999999999991</v>
      </c>
    </row>
    <row r="68" spans="1:6" ht="31.5">
      <c r="A68" s="211" t="s">
        <v>51</v>
      </c>
      <c r="B68" s="211">
        <v>9990200000</v>
      </c>
      <c r="C68" s="30"/>
      <c r="D68" s="30" t="s">
        <v>138</v>
      </c>
      <c r="E68" s="21">
        <f>E75+E69+E72</f>
        <v>7379</v>
      </c>
      <c r="F68" s="21">
        <f t="shared" ref="F68" si="21">F75+F69+F72</f>
        <v>7378.9999999999991</v>
      </c>
    </row>
    <row r="69" spans="1:6" ht="47.25">
      <c r="A69" s="211" t="s">
        <v>51</v>
      </c>
      <c r="B69" s="211">
        <v>9990210200</v>
      </c>
      <c r="C69" s="30"/>
      <c r="D69" s="212" t="s">
        <v>349</v>
      </c>
      <c r="E69" s="21">
        <f>E70</f>
        <v>36.700000000000003</v>
      </c>
      <c r="F69" s="21">
        <f t="shared" ref="F69:F70" si="22">F70</f>
        <v>36.700000000000003</v>
      </c>
    </row>
    <row r="70" spans="1:6" ht="63">
      <c r="A70" s="211" t="s">
        <v>51</v>
      </c>
      <c r="B70" s="211">
        <v>9990210200</v>
      </c>
      <c r="C70" s="211" t="s">
        <v>74</v>
      </c>
      <c r="D70" s="212" t="s">
        <v>2</v>
      </c>
      <c r="E70" s="21">
        <f>E71</f>
        <v>36.700000000000003</v>
      </c>
      <c r="F70" s="21">
        <f t="shared" si="22"/>
        <v>36.700000000000003</v>
      </c>
    </row>
    <row r="71" spans="1:6" ht="31.5">
      <c r="A71" s="211" t="s">
        <v>51</v>
      </c>
      <c r="B71" s="211">
        <v>9990210200</v>
      </c>
      <c r="C71" s="211">
        <v>120</v>
      </c>
      <c r="D71" s="212" t="s">
        <v>443</v>
      </c>
      <c r="E71" s="21">
        <f>№6!F504</f>
        <v>36.700000000000003</v>
      </c>
      <c r="F71" s="21">
        <f>№6!G504</f>
        <v>36.700000000000003</v>
      </c>
    </row>
    <row r="72" spans="1:6" ht="47.25">
      <c r="A72" s="211" t="s">
        <v>51</v>
      </c>
      <c r="B72" s="211" t="s">
        <v>470</v>
      </c>
      <c r="C72" s="211"/>
      <c r="D72" s="212" t="s">
        <v>354</v>
      </c>
      <c r="E72" s="21">
        <f>E73</f>
        <v>3.7</v>
      </c>
      <c r="F72" s="21">
        <f t="shared" ref="F72:F73" si="23">F73</f>
        <v>3.7</v>
      </c>
    </row>
    <row r="73" spans="1:6" ht="63">
      <c r="A73" s="211" t="s">
        <v>51</v>
      </c>
      <c r="B73" s="211" t="s">
        <v>470</v>
      </c>
      <c r="C73" s="211" t="s">
        <v>74</v>
      </c>
      <c r="D73" s="212" t="s">
        <v>2</v>
      </c>
      <c r="E73" s="21">
        <f>E74</f>
        <v>3.7</v>
      </c>
      <c r="F73" s="21">
        <f t="shared" si="23"/>
        <v>3.7</v>
      </c>
    </row>
    <row r="74" spans="1:6" ht="31.5">
      <c r="A74" s="211" t="s">
        <v>51</v>
      </c>
      <c r="B74" s="211" t="s">
        <v>470</v>
      </c>
      <c r="C74" s="211">
        <v>120</v>
      </c>
      <c r="D74" s="212" t="s">
        <v>443</v>
      </c>
      <c r="E74" s="21">
        <f>№6!F507</f>
        <v>3.7</v>
      </c>
      <c r="F74" s="21">
        <f>№6!G507</f>
        <v>3.7</v>
      </c>
    </row>
    <row r="75" spans="1:6" ht="47.25">
      <c r="A75" s="211" t="s">
        <v>51</v>
      </c>
      <c r="B75" s="211">
        <v>9990225000</v>
      </c>
      <c r="C75" s="211"/>
      <c r="D75" s="30" t="s">
        <v>139</v>
      </c>
      <c r="E75" s="21">
        <f>E76+E78+E82+E80</f>
        <v>7338.6</v>
      </c>
      <c r="F75" s="21">
        <f t="shared" ref="F75" si="24">F76+F78+F82+F80</f>
        <v>7338.5999999999995</v>
      </c>
    </row>
    <row r="76" spans="1:6" ht="63">
      <c r="A76" s="211" t="s">
        <v>51</v>
      </c>
      <c r="B76" s="211">
        <v>9990225000</v>
      </c>
      <c r="C76" s="211" t="s">
        <v>74</v>
      </c>
      <c r="D76" s="30" t="s">
        <v>2</v>
      </c>
      <c r="E76" s="21">
        <f>E77</f>
        <v>6930.4000000000005</v>
      </c>
      <c r="F76" s="21">
        <f t="shared" ref="F76" si="25">F77</f>
        <v>6930.4</v>
      </c>
    </row>
    <row r="77" spans="1:6" ht="33.6" customHeight="1">
      <c r="A77" s="211" t="s">
        <v>51</v>
      </c>
      <c r="B77" s="211">
        <v>9990225000</v>
      </c>
      <c r="C77" s="211">
        <v>120</v>
      </c>
      <c r="D77" s="30" t="s">
        <v>443</v>
      </c>
      <c r="E77" s="21">
        <f>№6!F510</f>
        <v>6930.4000000000005</v>
      </c>
      <c r="F77" s="21">
        <f>№6!G510</f>
        <v>6930.4</v>
      </c>
    </row>
    <row r="78" spans="1:6" ht="31.5">
      <c r="A78" s="211" t="s">
        <v>51</v>
      </c>
      <c r="B78" s="211">
        <v>9990225000</v>
      </c>
      <c r="C78" s="211" t="s">
        <v>75</v>
      </c>
      <c r="D78" s="30" t="s">
        <v>107</v>
      </c>
      <c r="E78" s="21">
        <f>E79</f>
        <v>299.2</v>
      </c>
      <c r="F78" s="21">
        <f t="shared" ref="F78" si="26">F79</f>
        <v>299.2</v>
      </c>
    </row>
    <row r="79" spans="1:6" ht="31.9" customHeight="1">
      <c r="A79" s="211" t="s">
        <v>51</v>
      </c>
      <c r="B79" s="211">
        <v>9990225000</v>
      </c>
      <c r="C79" s="211">
        <v>240</v>
      </c>
      <c r="D79" s="212" t="s">
        <v>441</v>
      </c>
      <c r="E79" s="21">
        <f>№6!F512</f>
        <v>299.2</v>
      </c>
      <c r="F79" s="21">
        <f>№6!G512</f>
        <v>299.2</v>
      </c>
    </row>
    <row r="80" spans="1:6" ht="15.75" customHeight="1">
      <c r="A80" s="211" t="s">
        <v>51</v>
      </c>
      <c r="B80" s="211">
        <v>9990225000</v>
      </c>
      <c r="C80" s="211">
        <v>300</v>
      </c>
      <c r="D80" s="212" t="s">
        <v>80</v>
      </c>
      <c r="E80" s="21">
        <f>E81</f>
        <v>45</v>
      </c>
      <c r="F80" s="21">
        <f t="shared" ref="F80" si="27">F81</f>
        <v>45</v>
      </c>
    </row>
    <row r="81" spans="1:6" ht="30" customHeight="1">
      <c r="A81" s="211" t="s">
        <v>51</v>
      </c>
      <c r="B81" s="211">
        <v>9990225000</v>
      </c>
      <c r="C81" s="211">
        <v>320</v>
      </c>
      <c r="D81" s="212" t="s">
        <v>121</v>
      </c>
      <c r="E81" s="21">
        <f>№6!F514</f>
        <v>45</v>
      </c>
      <c r="F81" s="21">
        <f>№6!G514</f>
        <v>45</v>
      </c>
    </row>
    <row r="82" spans="1:6">
      <c r="A82" s="211" t="s">
        <v>51</v>
      </c>
      <c r="B82" s="211">
        <v>9990225000</v>
      </c>
      <c r="C82" s="211" t="s">
        <v>76</v>
      </c>
      <c r="D82" s="30" t="s">
        <v>77</v>
      </c>
      <c r="E82" s="21">
        <f>E83</f>
        <v>64</v>
      </c>
      <c r="F82" s="21">
        <f t="shared" ref="F82" si="28">F83</f>
        <v>64</v>
      </c>
    </row>
    <row r="83" spans="1:6">
      <c r="A83" s="211" t="s">
        <v>51</v>
      </c>
      <c r="B83" s="211">
        <v>9990225000</v>
      </c>
      <c r="C83" s="211">
        <v>850</v>
      </c>
      <c r="D83" s="30" t="s">
        <v>119</v>
      </c>
      <c r="E83" s="21">
        <f>№6!F516</f>
        <v>64</v>
      </c>
      <c r="F83" s="21">
        <f>№6!G516</f>
        <v>64</v>
      </c>
    </row>
    <row r="84" spans="1:6">
      <c r="A84" s="29" t="s">
        <v>291</v>
      </c>
      <c r="B84" s="211"/>
      <c r="C84" s="211"/>
      <c r="D84" s="367" t="s">
        <v>292</v>
      </c>
      <c r="E84" s="21">
        <f t="shared" ref="E84:E89" si="29">E85</f>
        <v>88.6</v>
      </c>
      <c r="F84" s="21">
        <f t="shared" ref="F84:F89" si="30">F85</f>
        <v>88.6</v>
      </c>
    </row>
    <row r="85" spans="1:6" ht="47.25">
      <c r="A85" s="10" t="s">
        <v>291</v>
      </c>
      <c r="B85" s="201">
        <v>1200000000</v>
      </c>
      <c r="C85" s="211"/>
      <c r="D85" s="212" t="s">
        <v>231</v>
      </c>
      <c r="E85" s="21">
        <f t="shared" si="29"/>
        <v>88.6</v>
      </c>
      <c r="F85" s="21">
        <f t="shared" si="30"/>
        <v>88.6</v>
      </c>
    </row>
    <row r="86" spans="1:6" ht="31.5">
      <c r="A86" s="10" t="s">
        <v>291</v>
      </c>
      <c r="B86" s="211">
        <v>1240000000</v>
      </c>
      <c r="C86" s="211"/>
      <c r="D86" s="212" t="s">
        <v>162</v>
      </c>
      <c r="E86" s="21">
        <f t="shared" si="29"/>
        <v>88.6</v>
      </c>
      <c r="F86" s="21">
        <f t="shared" si="30"/>
        <v>88.6</v>
      </c>
    </row>
    <row r="87" spans="1:6" ht="16.5" customHeight="1">
      <c r="A87" s="29" t="s">
        <v>291</v>
      </c>
      <c r="B87" s="211">
        <v>1240500000</v>
      </c>
      <c r="C87" s="211"/>
      <c r="D87" s="212" t="s">
        <v>163</v>
      </c>
      <c r="E87" s="21">
        <f t="shared" si="29"/>
        <v>88.6</v>
      </c>
      <c r="F87" s="21">
        <f t="shared" si="30"/>
        <v>88.6</v>
      </c>
    </row>
    <row r="88" spans="1:6" ht="31.5">
      <c r="A88" s="10" t="s">
        <v>291</v>
      </c>
      <c r="B88" s="211">
        <v>1240520410</v>
      </c>
      <c r="C88" s="211"/>
      <c r="D88" s="212" t="s">
        <v>272</v>
      </c>
      <c r="E88" s="21">
        <f t="shared" si="29"/>
        <v>88.6</v>
      </c>
      <c r="F88" s="21">
        <f t="shared" si="30"/>
        <v>88.6</v>
      </c>
    </row>
    <row r="89" spans="1:6">
      <c r="A89" s="10" t="s">
        <v>291</v>
      </c>
      <c r="B89" s="211">
        <v>1240520410</v>
      </c>
      <c r="C89" s="211" t="s">
        <v>76</v>
      </c>
      <c r="D89" s="212" t="s">
        <v>77</v>
      </c>
      <c r="E89" s="21">
        <f t="shared" si="29"/>
        <v>88.6</v>
      </c>
      <c r="F89" s="21">
        <f t="shared" si="30"/>
        <v>88.6</v>
      </c>
    </row>
    <row r="90" spans="1:6" ht="34.15" customHeight="1">
      <c r="A90" s="10" t="s">
        <v>291</v>
      </c>
      <c r="B90" s="211">
        <v>1240520410</v>
      </c>
      <c r="C90" s="211">
        <v>860</v>
      </c>
      <c r="D90" s="212" t="s">
        <v>444</v>
      </c>
      <c r="E90" s="21">
        <f>№6!F54</f>
        <v>88.6</v>
      </c>
      <c r="F90" s="21">
        <f>№6!G54</f>
        <v>88.6</v>
      </c>
    </row>
    <row r="91" spans="1:6">
      <c r="A91" s="211" t="s">
        <v>52</v>
      </c>
      <c r="B91" s="211"/>
      <c r="C91" s="211"/>
      <c r="D91" s="30" t="s">
        <v>12</v>
      </c>
      <c r="E91" s="21">
        <f>E92</f>
        <v>200</v>
      </c>
      <c r="F91" s="21">
        <f t="shared" ref="F91:F95" si="31">F92</f>
        <v>0</v>
      </c>
    </row>
    <row r="92" spans="1:6">
      <c r="A92" s="211" t="s">
        <v>52</v>
      </c>
      <c r="B92" s="211">
        <v>9900000000</v>
      </c>
      <c r="C92" s="211"/>
      <c r="D92" s="30" t="s">
        <v>124</v>
      </c>
      <c r="E92" s="21">
        <f>E93</f>
        <v>200</v>
      </c>
      <c r="F92" s="21">
        <f t="shared" si="31"/>
        <v>0</v>
      </c>
    </row>
    <row r="93" spans="1:6">
      <c r="A93" s="211" t="s">
        <v>52</v>
      </c>
      <c r="B93" s="211">
        <v>9910000000</v>
      </c>
      <c r="C93" s="211"/>
      <c r="D93" s="30" t="s">
        <v>12</v>
      </c>
      <c r="E93" s="21">
        <f>E94</f>
        <v>200</v>
      </c>
      <c r="F93" s="21">
        <f t="shared" si="31"/>
        <v>0</v>
      </c>
    </row>
    <row r="94" spans="1:6" ht="31.5">
      <c r="A94" s="211" t="s">
        <v>52</v>
      </c>
      <c r="B94" s="211">
        <v>9910020000</v>
      </c>
      <c r="C94" s="211"/>
      <c r="D94" s="30" t="s">
        <v>207</v>
      </c>
      <c r="E94" s="21">
        <f>E95</f>
        <v>200</v>
      </c>
      <c r="F94" s="21">
        <f t="shared" si="31"/>
        <v>0</v>
      </c>
    </row>
    <row r="95" spans="1:6">
      <c r="A95" s="211" t="s">
        <v>52</v>
      </c>
      <c r="B95" s="211">
        <v>9910020000</v>
      </c>
      <c r="C95" s="201" t="s">
        <v>76</v>
      </c>
      <c r="D95" s="212" t="s">
        <v>77</v>
      </c>
      <c r="E95" s="21">
        <f>E96</f>
        <v>200</v>
      </c>
      <c r="F95" s="21">
        <f t="shared" si="31"/>
        <v>0</v>
      </c>
    </row>
    <row r="96" spans="1:6">
      <c r="A96" s="211" t="s">
        <v>52</v>
      </c>
      <c r="B96" s="211">
        <v>9910020000</v>
      </c>
      <c r="C96" s="3" t="s">
        <v>208</v>
      </c>
      <c r="D96" s="22" t="s">
        <v>209</v>
      </c>
      <c r="E96" s="21">
        <f>№6!F522</f>
        <v>200</v>
      </c>
      <c r="F96" s="21">
        <f>№6!G522</f>
        <v>0</v>
      </c>
    </row>
    <row r="97" spans="1:6">
      <c r="A97" s="211" t="s">
        <v>66</v>
      </c>
      <c r="B97" s="211" t="s">
        <v>72</v>
      </c>
      <c r="C97" s="211" t="s">
        <v>72</v>
      </c>
      <c r="D97" s="367" t="s">
        <v>28</v>
      </c>
      <c r="E97" s="21">
        <f>E98+E113+E119+E149</f>
        <v>31541.099999999995</v>
      </c>
      <c r="F97" s="21">
        <f>F98+F113+F119+F149</f>
        <v>31345.999999999996</v>
      </c>
    </row>
    <row r="98" spans="1:6" ht="47.25">
      <c r="A98" s="211" t="s">
        <v>66</v>
      </c>
      <c r="B98" s="201">
        <v>1200000000</v>
      </c>
      <c r="C98" s="211"/>
      <c r="D98" s="30" t="s">
        <v>231</v>
      </c>
      <c r="E98" s="21">
        <f>E99</f>
        <v>692.2</v>
      </c>
      <c r="F98" s="21">
        <f>F99</f>
        <v>692.2</v>
      </c>
    </row>
    <row r="99" spans="1:6" ht="31.5">
      <c r="A99" s="211" t="s">
        <v>66</v>
      </c>
      <c r="B99" s="211">
        <v>1240000000</v>
      </c>
      <c r="C99" s="211"/>
      <c r="D99" s="30" t="s">
        <v>162</v>
      </c>
      <c r="E99" s="21">
        <f>E100+E106</f>
        <v>692.2</v>
      </c>
      <c r="F99" s="21">
        <f>F100+F106</f>
        <v>692.2</v>
      </c>
    </row>
    <row r="100" spans="1:6" ht="31.5">
      <c r="A100" s="211" t="s">
        <v>66</v>
      </c>
      <c r="B100" s="211">
        <v>1240200000</v>
      </c>
      <c r="C100" s="211"/>
      <c r="D100" s="30" t="s">
        <v>182</v>
      </c>
      <c r="E100" s="21">
        <f>E101</f>
        <v>59.699999999999996</v>
      </c>
      <c r="F100" s="21">
        <f>F101</f>
        <v>59.7</v>
      </c>
    </row>
    <row r="101" spans="1:6">
      <c r="A101" s="211" t="s">
        <v>66</v>
      </c>
      <c r="B101" s="211">
        <v>1240220340</v>
      </c>
      <c r="C101" s="211"/>
      <c r="D101" s="30" t="s">
        <v>193</v>
      </c>
      <c r="E101" s="21">
        <f>E102+E104</f>
        <v>59.699999999999996</v>
      </c>
      <c r="F101" s="21">
        <f t="shared" ref="F101" si="32">F102+F104</f>
        <v>59.7</v>
      </c>
    </row>
    <row r="102" spans="1:6" ht="31.5">
      <c r="A102" s="211" t="s">
        <v>66</v>
      </c>
      <c r="B102" s="211">
        <v>1240220340</v>
      </c>
      <c r="C102" s="201" t="s">
        <v>75</v>
      </c>
      <c r="D102" s="212" t="s">
        <v>107</v>
      </c>
      <c r="E102" s="21">
        <f>E103</f>
        <v>44.699999999999996</v>
      </c>
      <c r="F102" s="21">
        <f t="shared" ref="F102" si="33">F103</f>
        <v>44.7</v>
      </c>
    </row>
    <row r="103" spans="1:6" ht="33" customHeight="1">
      <c r="A103" s="211" t="s">
        <v>66</v>
      </c>
      <c r="B103" s="211">
        <v>1240220340</v>
      </c>
      <c r="C103" s="211">
        <v>240</v>
      </c>
      <c r="D103" s="212" t="s">
        <v>441</v>
      </c>
      <c r="E103" s="21">
        <f>№6!F61</f>
        <v>44.699999999999996</v>
      </c>
      <c r="F103" s="21">
        <f>№6!G61</f>
        <v>44.7</v>
      </c>
    </row>
    <row r="104" spans="1:6">
      <c r="A104" s="211" t="s">
        <v>66</v>
      </c>
      <c r="B104" s="211">
        <v>1240220340</v>
      </c>
      <c r="C104" s="201" t="s">
        <v>79</v>
      </c>
      <c r="D104" s="212" t="s">
        <v>80</v>
      </c>
      <c r="E104" s="21">
        <f>E105</f>
        <v>15</v>
      </c>
      <c r="F104" s="21">
        <f t="shared" ref="F104" si="34">F105</f>
        <v>15</v>
      </c>
    </row>
    <row r="105" spans="1:6">
      <c r="A105" s="211" t="s">
        <v>66</v>
      </c>
      <c r="B105" s="211">
        <v>1240220340</v>
      </c>
      <c r="C105" s="211">
        <v>350</v>
      </c>
      <c r="D105" s="22" t="s">
        <v>194</v>
      </c>
      <c r="E105" s="21">
        <f>№6!F63</f>
        <v>15</v>
      </c>
      <c r="F105" s="21">
        <f>№6!G63</f>
        <v>15</v>
      </c>
    </row>
    <row r="106" spans="1:6" ht="18" customHeight="1">
      <c r="A106" s="211" t="s">
        <v>66</v>
      </c>
      <c r="B106" s="211">
        <v>1240500000</v>
      </c>
      <c r="C106" s="211"/>
      <c r="D106" s="30" t="s">
        <v>163</v>
      </c>
      <c r="E106" s="21">
        <f>E107+E110</f>
        <v>632.5</v>
      </c>
      <c r="F106" s="21">
        <f t="shared" ref="F106" si="35">F107+F110</f>
        <v>632.5</v>
      </c>
    </row>
    <row r="107" spans="1:6" ht="31.5">
      <c r="A107" s="211" t="s">
        <v>66</v>
      </c>
      <c r="B107" s="211">
        <v>1240520410</v>
      </c>
      <c r="C107" s="211"/>
      <c r="D107" s="30" t="s">
        <v>272</v>
      </c>
      <c r="E107" s="21">
        <f>E108</f>
        <v>117.10000000000002</v>
      </c>
      <c r="F107" s="21">
        <f t="shared" ref="F107:F108" si="36">F108</f>
        <v>117.1</v>
      </c>
    </row>
    <row r="108" spans="1:6">
      <c r="A108" s="211" t="s">
        <v>66</v>
      </c>
      <c r="B108" s="211">
        <v>1240520410</v>
      </c>
      <c r="C108" s="211" t="s">
        <v>76</v>
      </c>
      <c r="D108" s="30" t="s">
        <v>77</v>
      </c>
      <c r="E108" s="21">
        <f>E109</f>
        <v>117.10000000000002</v>
      </c>
      <c r="F108" s="21">
        <f t="shared" si="36"/>
        <v>117.1</v>
      </c>
    </row>
    <row r="109" spans="1:6">
      <c r="A109" s="211" t="s">
        <v>66</v>
      </c>
      <c r="B109" s="211">
        <v>1240520410</v>
      </c>
      <c r="C109" s="211">
        <v>850</v>
      </c>
      <c r="D109" s="30" t="s">
        <v>119</v>
      </c>
      <c r="E109" s="21">
        <f>№6!F67</f>
        <v>117.10000000000002</v>
      </c>
      <c r="F109" s="21">
        <f>№6!G67</f>
        <v>117.1</v>
      </c>
    </row>
    <row r="110" spans="1:6" ht="31.5">
      <c r="A110" s="211" t="s">
        <v>66</v>
      </c>
      <c r="B110" s="211">
        <v>1240520460</v>
      </c>
      <c r="C110" s="211"/>
      <c r="D110" s="30" t="s">
        <v>296</v>
      </c>
      <c r="E110" s="21">
        <f>E111</f>
        <v>515.4</v>
      </c>
      <c r="F110" s="21">
        <f t="shared" ref="F110:F111" si="37">F111</f>
        <v>515.4</v>
      </c>
    </row>
    <row r="111" spans="1:6" ht="31.5">
      <c r="A111" s="211" t="s">
        <v>66</v>
      </c>
      <c r="B111" s="211">
        <v>1240520460</v>
      </c>
      <c r="C111" s="201" t="s">
        <v>75</v>
      </c>
      <c r="D111" s="212" t="s">
        <v>107</v>
      </c>
      <c r="E111" s="21">
        <f>E112</f>
        <v>515.4</v>
      </c>
      <c r="F111" s="21">
        <f t="shared" si="37"/>
        <v>515.4</v>
      </c>
    </row>
    <row r="112" spans="1:6" ht="34.15" customHeight="1">
      <c r="A112" s="211" t="s">
        <v>66</v>
      </c>
      <c r="B112" s="211">
        <v>1240520460</v>
      </c>
      <c r="C112" s="211">
        <v>240</v>
      </c>
      <c r="D112" s="212" t="s">
        <v>441</v>
      </c>
      <c r="E112" s="21">
        <f>№6!F70</f>
        <v>515.4</v>
      </c>
      <c r="F112" s="21">
        <f>№6!G70</f>
        <v>515.4</v>
      </c>
    </row>
    <row r="113" spans="1:6" ht="31.5">
      <c r="A113" s="211" t="s">
        <v>66</v>
      </c>
      <c r="B113" s="201">
        <v>1500000000</v>
      </c>
      <c r="C113" s="211"/>
      <c r="D113" s="30" t="s">
        <v>232</v>
      </c>
      <c r="E113" s="21">
        <f>E114</f>
        <v>23.400000000000006</v>
      </c>
      <c r="F113" s="21">
        <f t="shared" ref="F113:F117" si="38">F114</f>
        <v>23.4</v>
      </c>
    </row>
    <row r="114" spans="1:6">
      <c r="A114" s="211" t="s">
        <v>66</v>
      </c>
      <c r="B114" s="211">
        <v>1510000000</v>
      </c>
      <c r="C114" s="211"/>
      <c r="D114" s="30" t="s">
        <v>196</v>
      </c>
      <c r="E114" s="21">
        <f>E115</f>
        <v>23.400000000000006</v>
      </c>
      <c r="F114" s="21">
        <f t="shared" si="38"/>
        <v>23.4</v>
      </c>
    </row>
    <row r="115" spans="1:6" ht="47.25">
      <c r="A115" s="211" t="s">
        <v>66</v>
      </c>
      <c r="B115" s="211">
        <v>1510200000</v>
      </c>
      <c r="C115" s="211"/>
      <c r="D115" s="30" t="s">
        <v>233</v>
      </c>
      <c r="E115" s="21">
        <f>E116</f>
        <v>23.400000000000006</v>
      </c>
      <c r="F115" s="21">
        <f t="shared" si="38"/>
        <v>23.4</v>
      </c>
    </row>
    <row r="116" spans="1:6" ht="31.5">
      <c r="A116" s="211" t="s">
        <v>66</v>
      </c>
      <c r="B116" s="211">
        <v>1510220170</v>
      </c>
      <c r="C116" s="211"/>
      <c r="D116" s="30" t="s">
        <v>234</v>
      </c>
      <c r="E116" s="21">
        <f>E117</f>
        <v>23.400000000000006</v>
      </c>
      <c r="F116" s="21">
        <f t="shared" si="38"/>
        <v>23.4</v>
      </c>
    </row>
    <row r="117" spans="1:6">
      <c r="A117" s="211" t="s">
        <v>66</v>
      </c>
      <c r="B117" s="211">
        <v>1510220170</v>
      </c>
      <c r="C117" s="201" t="s">
        <v>79</v>
      </c>
      <c r="D117" s="212" t="s">
        <v>80</v>
      </c>
      <c r="E117" s="21">
        <f>E118</f>
        <v>23.400000000000006</v>
      </c>
      <c r="F117" s="21">
        <f t="shared" si="38"/>
        <v>23.4</v>
      </c>
    </row>
    <row r="118" spans="1:6">
      <c r="A118" s="211" t="s">
        <v>66</v>
      </c>
      <c r="B118" s="211">
        <v>1510220170</v>
      </c>
      <c r="C118" s="1" t="s">
        <v>198</v>
      </c>
      <c r="D118" s="23" t="s">
        <v>197</v>
      </c>
      <c r="E118" s="21">
        <f>№6!F76</f>
        <v>23.400000000000006</v>
      </c>
      <c r="F118" s="21">
        <f>№6!G76</f>
        <v>23.4</v>
      </c>
    </row>
    <row r="119" spans="1:6" ht="47.25">
      <c r="A119" s="201" t="s">
        <v>66</v>
      </c>
      <c r="B119" s="201">
        <v>1600000000</v>
      </c>
      <c r="C119" s="201"/>
      <c r="D119" s="212" t="s">
        <v>133</v>
      </c>
      <c r="E119" s="21">
        <f>E120+E132+E144</f>
        <v>5876.7</v>
      </c>
      <c r="F119" s="21">
        <f>F120+F132+F144</f>
        <v>5827.1</v>
      </c>
    </row>
    <row r="120" spans="1:6" ht="31.5">
      <c r="A120" s="201" t="s">
        <v>66</v>
      </c>
      <c r="B120" s="201">
        <v>1620000000</v>
      </c>
      <c r="C120" s="201"/>
      <c r="D120" s="212" t="s">
        <v>126</v>
      </c>
      <c r="E120" s="21">
        <f>E121+E128</f>
        <v>3921.3999999999996</v>
      </c>
      <c r="F120" s="21">
        <f t="shared" ref="F120" si="39">F121+F128</f>
        <v>3907.5</v>
      </c>
    </row>
    <row r="121" spans="1:6">
      <c r="A121" s="201" t="s">
        <v>66</v>
      </c>
      <c r="B121" s="201">
        <v>1620100000</v>
      </c>
      <c r="C121" s="201"/>
      <c r="D121" s="212" t="s">
        <v>127</v>
      </c>
      <c r="E121" s="21">
        <f>E122+E125</f>
        <v>3586.8999999999996</v>
      </c>
      <c r="F121" s="21">
        <f t="shared" ref="F121" si="40">F122+F125</f>
        <v>3576.6</v>
      </c>
    </row>
    <row r="122" spans="1:6">
      <c r="A122" s="201" t="s">
        <v>66</v>
      </c>
      <c r="B122" s="201">
        <v>1620120210</v>
      </c>
      <c r="C122" s="25"/>
      <c r="D122" s="212" t="s">
        <v>128</v>
      </c>
      <c r="E122" s="21">
        <f>E123</f>
        <v>3415.4999999999995</v>
      </c>
      <c r="F122" s="21">
        <f t="shared" ref="F122" si="41">F123</f>
        <v>3405.2</v>
      </c>
    </row>
    <row r="123" spans="1:6" ht="31.5">
      <c r="A123" s="201" t="s">
        <v>66</v>
      </c>
      <c r="B123" s="201">
        <v>1620120210</v>
      </c>
      <c r="C123" s="201" t="s">
        <v>75</v>
      </c>
      <c r="D123" s="212" t="s">
        <v>107</v>
      </c>
      <c r="E123" s="21">
        <f>E124</f>
        <v>3415.4999999999995</v>
      </c>
      <c r="F123" s="21">
        <f>F124</f>
        <v>3405.2</v>
      </c>
    </row>
    <row r="124" spans="1:6" ht="36.6" customHeight="1">
      <c r="A124" s="201" t="s">
        <v>66</v>
      </c>
      <c r="B124" s="201">
        <v>1620120210</v>
      </c>
      <c r="C124" s="211">
        <v>240</v>
      </c>
      <c r="D124" s="212" t="s">
        <v>441</v>
      </c>
      <c r="E124" s="21">
        <f>№6!F558</f>
        <v>3415.4999999999995</v>
      </c>
      <c r="F124" s="21">
        <f>№6!G558</f>
        <v>3405.2</v>
      </c>
    </row>
    <row r="125" spans="1:6" ht="31.5">
      <c r="A125" s="201" t="s">
        <v>66</v>
      </c>
      <c r="B125" s="201">
        <v>1620120220</v>
      </c>
      <c r="C125" s="211"/>
      <c r="D125" s="212" t="s">
        <v>125</v>
      </c>
      <c r="E125" s="21">
        <f>E126</f>
        <v>171.4</v>
      </c>
      <c r="F125" s="21">
        <f t="shared" ref="F125:F126" si="42">F126</f>
        <v>171.4</v>
      </c>
    </row>
    <row r="126" spans="1:6" ht="31.5">
      <c r="A126" s="201" t="s">
        <v>66</v>
      </c>
      <c r="B126" s="201">
        <v>1620120220</v>
      </c>
      <c r="C126" s="201" t="s">
        <v>75</v>
      </c>
      <c r="D126" s="212" t="s">
        <v>107</v>
      </c>
      <c r="E126" s="21">
        <f>E127</f>
        <v>171.4</v>
      </c>
      <c r="F126" s="21">
        <f t="shared" si="42"/>
        <v>171.4</v>
      </c>
    </row>
    <row r="127" spans="1:6" ht="36" customHeight="1">
      <c r="A127" s="201" t="s">
        <v>66</v>
      </c>
      <c r="B127" s="201">
        <v>1620120220</v>
      </c>
      <c r="C127" s="211">
        <v>240</v>
      </c>
      <c r="D127" s="212" t="s">
        <v>441</v>
      </c>
      <c r="E127" s="21">
        <f>№6!F559</f>
        <v>171.4</v>
      </c>
      <c r="F127" s="21">
        <f>№6!G559</f>
        <v>171.4</v>
      </c>
    </row>
    <row r="128" spans="1:6" ht="32.25" customHeight="1">
      <c r="A128" s="201" t="s">
        <v>66</v>
      </c>
      <c r="B128" s="201">
        <v>1620300000</v>
      </c>
      <c r="C128" s="201"/>
      <c r="D128" s="212" t="s">
        <v>357</v>
      </c>
      <c r="E128" s="21">
        <f>E129</f>
        <v>334.5</v>
      </c>
      <c r="F128" s="21">
        <f t="shared" ref="F128:F130" si="43">F129</f>
        <v>330.9</v>
      </c>
    </row>
    <row r="129" spans="1:6" ht="36" customHeight="1">
      <c r="A129" s="201" t="s">
        <v>66</v>
      </c>
      <c r="B129" s="201">
        <v>1620320030</v>
      </c>
      <c r="C129" s="211"/>
      <c r="D129" s="212" t="s">
        <v>358</v>
      </c>
      <c r="E129" s="21">
        <f>E130</f>
        <v>334.5</v>
      </c>
      <c r="F129" s="21">
        <f t="shared" si="43"/>
        <v>330.9</v>
      </c>
    </row>
    <row r="130" spans="1:6" ht="33" customHeight="1">
      <c r="A130" s="201" t="s">
        <v>66</v>
      </c>
      <c r="B130" s="201">
        <v>1620320030</v>
      </c>
      <c r="C130" s="201" t="s">
        <v>75</v>
      </c>
      <c r="D130" s="212" t="s">
        <v>107</v>
      </c>
      <c r="E130" s="21">
        <f>E131</f>
        <v>334.5</v>
      </c>
      <c r="F130" s="21">
        <f t="shared" si="43"/>
        <v>330.9</v>
      </c>
    </row>
    <row r="131" spans="1:6" ht="31.5" customHeight="1">
      <c r="A131" s="201" t="s">
        <v>66</v>
      </c>
      <c r="B131" s="201">
        <v>1620320030</v>
      </c>
      <c r="C131" s="211">
        <v>240</v>
      </c>
      <c r="D131" s="212" t="s">
        <v>441</v>
      </c>
      <c r="E131" s="21">
        <f>№6!F565+№6!F82</f>
        <v>334.5</v>
      </c>
      <c r="F131" s="21">
        <f>№6!G565+№6!G82</f>
        <v>330.9</v>
      </c>
    </row>
    <row r="132" spans="1:6" ht="47.25">
      <c r="A132" s="201" t="s">
        <v>66</v>
      </c>
      <c r="B132" s="201">
        <v>1630000000</v>
      </c>
      <c r="C132" s="211"/>
      <c r="D132" s="212" t="s">
        <v>274</v>
      </c>
      <c r="E132" s="21">
        <f>E133+E140</f>
        <v>1929.3</v>
      </c>
      <c r="F132" s="21">
        <f t="shared" ref="F132" si="44">F133+F140</f>
        <v>1893.6</v>
      </c>
    </row>
    <row r="133" spans="1:6" ht="47.25">
      <c r="A133" s="201" t="s">
        <v>66</v>
      </c>
      <c r="B133" s="211">
        <v>1630100000</v>
      </c>
      <c r="C133" s="211"/>
      <c r="D133" s="30" t="s">
        <v>275</v>
      </c>
      <c r="E133" s="21">
        <f>E134+E137</f>
        <v>1784.2</v>
      </c>
      <c r="F133" s="21">
        <f t="shared" ref="F133" si="45">F134+F137</f>
        <v>1748.5</v>
      </c>
    </row>
    <row r="134" spans="1:6" ht="31.15" customHeight="1">
      <c r="A134" s="211" t="s">
        <v>66</v>
      </c>
      <c r="B134" s="211">
        <v>1630120180</v>
      </c>
      <c r="C134" s="211"/>
      <c r="D134" s="30" t="s">
        <v>276</v>
      </c>
      <c r="E134" s="21">
        <f>E135</f>
        <v>1183.7</v>
      </c>
      <c r="F134" s="21">
        <f t="shared" ref="F134:F135" si="46">F135</f>
        <v>1148</v>
      </c>
    </row>
    <row r="135" spans="1:6" ht="36" customHeight="1">
      <c r="A135" s="201" t="s">
        <v>66</v>
      </c>
      <c r="B135" s="211">
        <v>1630120180</v>
      </c>
      <c r="C135" s="211" t="s">
        <v>75</v>
      </c>
      <c r="D135" s="30" t="s">
        <v>107</v>
      </c>
      <c r="E135" s="21">
        <f>E136</f>
        <v>1183.7</v>
      </c>
      <c r="F135" s="21">
        <f t="shared" si="46"/>
        <v>1148</v>
      </c>
    </row>
    <row r="136" spans="1:6" ht="36" customHeight="1">
      <c r="A136" s="201" t="s">
        <v>66</v>
      </c>
      <c r="B136" s="211">
        <v>1630120180</v>
      </c>
      <c r="C136" s="211">
        <v>240</v>
      </c>
      <c r="D136" s="212" t="s">
        <v>441</v>
      </c>
      <c r="E136" s="21">
        <f>№6!F87+№6!F529+№6!F570+№6!F707</f>
        <v>1183.7</v>
      </c>
      <c r="F136" s="21">
        <f>№6!G87+№6!G529+№6!G570+№6!G707</f>
        <v>1148</v>
      </c>
    </row>
    <row r="137" spans="1:6" ht="47.25">
      <c r="A137" s="211" t="s">
        <v>66</v>
      </c>
      <c r="B137" s="211">
        <v>1630120520</v>
      </c>
      <c r="C137" s="211"/>
      <c r="D137" s="30" t="s">
        <v>286</v>
      </c>
      <c r="E137" s="21">
        <f>E138</f>
        <v>600.5</v>
      </c>
      <c r="F137" s="21">
        <f t="shared" ref="F137:F138" si="47">F138</f>
        <v>600.5</v>
      </c>
    </row>
    <row r="138" spans="1:6" ht="32.25" customHeight="1">
      <c r="A138" s="201" t="s">
        <v>66</v>
      </c>
      <c r="B138" s="211">
        <v>1630120520</v>
      </c>
      <c r="C138" s="211" t="s">
        <v>75</v>
      </c>
      <c r="D138" s="30" t="s">
        <v>107</v>
      </c>
      <c r="E138" s="21">
        <f>E139</f>
        <v>600.5</v>
      </c>
      <c r="F138" s="21">
        <f t="shared" si="47"/>
        <v>600.5</v>
      </c>
    </row>
    <row r="139" spans="1:6" ht="30.6" customHeight="1">
      <c r="A139" s="201" t="s">
        <v>66</v>
      </c>
      <c r="B139" s="211">
        <v>1630120520</v>
      </c>
      <c r="C139" s="211">
        <v>240</v>
      </c>
      <c r="D139" s="212" t="s">
        <v>441</v>
      </c>
      <c r="E139" s="21">
        <f>№6!F90</f>
        <v>600.5</v>
      </c>
      <c r="F139" s="21">
        <f>№6!G90</f>
        <v>600.5</v>
      </c>
    </row>
    <row r="140" spans="1:6" ht="47.25">
      <c r="A140" s="211" t="s">
        <v>66</v>
      </c>
      <c r="B140" s="211">
        <v>1630200000</v>
      </c>
      <c r="C140" s="211"/>
      <c r="D140" s="30" t="s">
        <v>277</v>
      </c>
      <c r="E140" s="21">
        <f>E141</f>
        <v>145.1</v>
      </c>
      <c r="F140" s="21">
        <f t="shared" ref="F140:F142" si="48">F141</f>
        <v>145.1</v>
      </c>
    </row>
    <row r="141" spans="1:6" ht="17.25" customHeight="1">
      <c r="A141" s="201" t="s">
        <v>66</v>
      </c>
      <c r="B141" s="211">
        <v>1630220530</v>
      </c>
      <c r="C141" s="211"/>
      <c r="D141" s="30" t="s">
        <v>278</v>
      </c>
      <c r="E141" s="21">
        <f>E142</f>
        <v>145.1</v>
      </c>
      <c r="F141" s="21">
        <f t="shared" si="48"/>
        <v>145.1</v>
      </c>
    </row>
    <row r="142" spans="1:6" ht="36" customHeight="1">
      <c r="A142" s="201" t="s">
        <v>66</v>
      </c>
      <c r="B142" s="211">
        <v>1630220530</v>
      </c>
      <c r="C142" s="211" t="s">
        <v>75</v>
      </c>
      <c r="D142" s="30" t="s">
        <v>107</v>
      </c>
      <c r="E142" s="21">
        <f>E143</f>
        <v>145.1</v>
      </c>
      <c r="F142" s="21">
        <f t="shared" si="48"/>
        <v>145.1</v>
      </c>
    </row>
    <row r="143" spans="1:6" ht="31.5">
      <c r="A143" s="211" t="s">
        <v>66</v>
      </c>
      <c r="B143" s="211">
        <v>1630220530</v>
      </c>
      <c r="C143" s="211">
        <v>240</v>
      </c>
      <c r="D143" s="212" t="s">
        <v>441</v>
      </c>
      <c r="E143" s="21">
        <f>№6!F94</f>
        <v>145.1</v>
      </c>
      <c r="F143" s="21">
        <f>№6!G94</f>
        <v>145.1</v>
      </c>
    </row>
    <row r="144" spans="1:6" ht="47.25">
      <c r="A144" s="211" t="s">
        <v>66</v>
      </c>
      <c r="B144" s="201">
        <v>1640000000</v>
      </c>
      <c r="C144" s="1"/>
      <c r="D144" s="23" t="s">
        <v>267</v>
      </c>
      <c r="E144" s="21">
        <f>E145</f>
        <v>26</v>
      </c>
      <c r="F144" s="21">
        <f t="shared" ref="F144:F147" si="49">F145</f>
        <v>26</v>
      </c>
    </row>
    <row r="145" spans="1:6" ht="32.450000000000003" customHeight="1">
      <c r="A145" s="211" t="s">
        <v>66</v>
      </c>
      <c r="B145" s="211">
        <v>1640200000</v>
      </c>
      <c r="C145" s="1"/>
      <c r="D145" s="23" t="s">
        <v>270</v>
      </c>
      <c r="E145" s="21">
        <f>E146</f>
        <v>26</v>
      </c>
      <c r="F145" s="21">
        <f t="shared" si="49"/>
        <v>26</v>
      </c>
    </row>
    <row r="146" spans="1:6" ht="21" customHeight="1">
      <c r="A146" s="211" t="s">
        <v>66</v>
      </c>
      <c r="B146" s="211">
        <v>1640220250</v>
      </c>
      <c r="C146" s="1"/>
      <c r="D146" s="23" t="s">
        <v>268</v>
      </c>
      <c r="E146" s="21">
        <f>E147</f>
        <v>26</v>
      </c>
      <c r="F146" s="21">
        <f t="shared" si="49"/>
        <v>26</v>
      </c>
    </row>
    <row r="147" spans="1:6" ht="36" customHeight="1">
      <c r="A147" s="211" t="s">
        <v>66</v>
      </c>
      <c r="B147" s="211">
        <v>1640220250</v>
      </c>
      <c r="C147" s="201" t="s">
        <v>75</v>
      </c>
      <c r="D147" s="212" t="s">
        <v>107</v>
      </c>
      <c r="E147" s="21">
        <f>E148</f>
        <v>26</v>
      </c>
      <c r="F147" s="21">
        <f t="shared" si="49"/>
        <v>26</v>
      </c>
    </row>
    <row r="148" spans="1:6" ht="33.75" customHeight="1">
      <c r="A148" s="211" t="s">
        <v>66</v>
      </c>
      <c r="B148" s="211">
        <v>1640220250</v>
      </c>
      <c r="C148" s="211">
        <v>240</v>
      </c>
      <c r="D148" s="212" t="s">
        <v>441</v>
      </c>
      <c r="E148" s="21">
        <f>№6!F99</f>
        <v>26</v>
      </c>
      <c r="F148" s="21">
        <f>№6!G99</f>
        <v>26</v>
      </c>
    </row>
    <row r="149" spans="1:6">
      <c r="A149" s="211" t="s">
        <v>66</v>
      </c>
      <c r="B149" s="211">
        <v>9900000000</v>
      </c>
      <c r="C149" s="211"/>
      <c r="D149" s="30" t="s">
        <v>124</v>
      </c>
      <c r="E149" s="21">
        <f>E158+E150</f>
        <v>24948.799999999996</v>
      </c>
      <c r="F149" s="21">
        <f>F158+F150</f>
        <v>24803.299999999996</v>
      </c>
    </row>
    <row r="150" spans="1:6" ht="31.5">
      <c r="A150" s="201" t="s">
        <v>66</v>
      </c>
      <c r="B150" s="211">
        <v>9930000000</v>
      </c>
      <c r="C150" s="211"/>
      <c r="D150" s="212" t="s">
        <v>202</v>
      </c>
      <c r="E150" s="21">
        <f>E151+E155</f>
        <v>1601.1999999999998</v>
      </c>
      <c r="F150" s="21">
        <f t="shared" ref="F150" si="50">F151+F155</f>
        <v>1601.1999999999998</v>
      </c>
    </row>
    <row r="151" spans="1:6" ht="31.5">
      <c r="A151" s="201" t="s">
        <v>66</v>
      </c>
      <c r="B151" s="211">
        <v>9930020490</v>
      </c>
      <c r="C151" s="211"/>
      <c r="D151" s="212" t="s">
        <v>332</v>
      </c>
      <c r="E151" s="21">
        <f>E152</f>
        <v>1597.6999999999998</v>
      </c>
      <c r="F151" s="21">
        <f t="shared" ref="F151" si="51">F152</f>
        <v>1597.6999999999998</v>
      </c>
    </row>
    <row r="152" spans="1:6">
      <c r="A152" s="201" t="s">
        <v>66</v>
      </c>
      <c r="B152" s="211">
        <v>9930020490</v>
      </c>
      <c r="C152" s="13" t="s">
        <v>76</v>
      </c>
      <c r="D152" s="71" t="s">
        <v>77</v>
      </c>
      <c r="E152" s="21">
        <f>E153+E154</f>
        <v>1597.6999999999998</v>
      </c>
      <c r="F152" s="21">
        <f>F153+F154</f>
        <v>1597.6999999999998</v>
      </c>
    </row>
    <row r="153" spans="1:6">
      <c r="A153" s="201" t="s">
        <v>66</v>
      </c>
      <c r="B153" s="211">
        <v>9930020490</v>
      </c>
      <c r="C153" s="1" t="s">
        <v>333</v>
      </c>
      <c r="D153" s="22" t="s">
        <v>334</v>
      </c>
      <c r="E153" s="21">
        <f>№6!F575+№6!F104</f>
        <v>1587.6999999999998</v>
      </c>
      <c r="F153" s="21">
        <f>№6!G575+№6!G104</f>
        <v>1587.6999999999998</v>
      </c>
    </row>
    <row r="154" spans="1:6">
      <c r="A154" s="201" t="s">
        <v>66</v>
      </c>
      <c r="B154" s="211">
        <v>9930020490</v>
      </c>
      <c r="C154" s="1" t="s">
        <v>468</v>
      </c>
      <c r="D154" s="212" t="s">
        <v>119</v>
      </c>
      <c r="E154" s="21">
        <f>№6!F105</f>
        <v>10</v>
      </c>
      <c r="F154" s="21">
        <f>№6!G105</f>
        <v>10</v>
      </c>
    </row>
    <row r="155" spans="1:6" ht="47.25">
      <c r="A155" s="201" t="s">
        <v>66</v>
      </c>
      <c r="B155" s="211">
        <v>9930020510</v>
      </c>
      <c r="C155" s="211"/>
      <c r="D155" s="212" t="s">
        <v>341</v>
      </c>
      <c r="E155" s="21">
        <f>E156</f>
        <v>3.5</v>
      </c>
      <c r="F155" s="21">
        <f t="shared" ref="F155:F156" si="52">F156</f>
        <v>3.5</v>
      </c>
    </row>
    <row r="156" spans="1:6" ht="31.5">
      <c r="A156" s="211" t="s">
        <v>66</v>
      </c>
      <c r="B156" s="211">
        <v>9930020510</v>
      </c>
      <c r="C156" s="211" t="s">
        <v>75</v>
      </c>
      <c r="D156" s="212" t="s">
        <v>107</v>
      </c>
      <c r="E156" s="21">
        <f>E157</f>
        <v>3.5</v>
      </c>
      <c r="F156" s="21">
        <f t="shared" si="52"/>
        <v>3.5</v>
      </c>
    </row>
    <row r="157" spans="1:6" ht="33" customHeight="1">
      <c r="A157" s="201" t="s">
        <v>66</v>
      </c>
      <c r="B157" s="211">
        <v>9930020510</v>
      </c>
      <c r="C157" s="211">
        <v>240</v>
      </c>
      <c r="D157" s="212" t="s">
        <v>441</v>
      </c>
      <c r="E157" s="21">
        <f>№6!F534</f>
        <v>3.5</v>
      </c>
      <c r="F157" s="21">
        <f>№6!G534</f>
        <v>3.5</v>
      </c>
    </row>
    <row r="158" spans="1:6" ht="31.5">
      <c r="A158" s="211" t="s">
        <v>66</v>
      </c>
      <c r="B158" s="211">
        <v>9990000000</v>
      </c>
      <c r="C158" s="211"/>
      <c r="D158" s="30" t="s">
        <v>189</v>
      </c>
      <c r="E158" s="21">
        <f>E159+E176+E185+E188</f>
        <v>23347.599999999995</v>
      </c>
      <c r="F158" s="21">
        <f t="shared" ref="F158" si="53">F159+F176+F185+F188</f>
        <v>23202.099999999995</v>
      </c>
    </row>
    <row r="159" spans="1:6" ht="31.5">
      <c r="A159" s="211" t="s">
        <v>66</v>
      </c>
      <c r="B159" s="211">
        <v>9990200000</v>
      </c>
      <c r="C159" s="30"/>
      <c r="D159" s="30" t="s">
        <v>138</v>
      </c>
      <c r="E159" s="21">
        <f>E173+E160+E168+E165</f>
        <v>5051.9000000000005</v>
      </c>
      <c r="F159" s="21">
        <f>F173+F160+F168+F165</f>
        <v>5041.5</v>
      </c>
    </row>
    <row r="160" spans="1:6" ht="63">
      <c r="A160" s="211" t="s">
        <v>66</v>
      </c>
      <c r="B160" s="211">
        <v>9990210540</v>
      </c>
      <c r="C160" s="211"/>
      <c r="D160" s="30" t="s">
        <v>199</v>
      </c>
      <c r="E160" s="21">
        <f>E161+E163</f>
        <v>264</v>
      </c>
      <c r="F160" s="21">
        <f>F161+F163</f>
        <v>264</v>
      </c>
    </row>
    <row r="161" spans="1:6" ht="63">
      <c r="A161" s="211" t="s">
        <v>66</v>
      </c>
      <c r="B161" s="211">
        <v>9990210540</v>
      </c>
      <c r="C161" s="211" t="s">
        <v>74</v>
      </c>
      <c r="D161" s="30" t="s">
        <v>2</v>
      </c>
      <c r="E161" s="21">
        <f>E162</f>
        <v>256.3</v>
      </c>
      <c r="F161" s="21">
        <f>F162</f>
        <v>256.3</v>
      </c>
    </row>
    <row r="162" spans="1:6" ht="31.5">
      <c r="A162" s="211" t="s">
        <v>66</v>
      </c>
      <c r="B162" s="211">
        <v>9990210540</v>
      </c>
      <c r="C162" s="211">
        <v>120</v>
      </c>
      <c r="D162" s="30" t="s">
        <v>443</v>
      </c>
      <c r="E162" s="21">
        <f>№6!F110</f>
        <v>256.3</v>
      </c>
      <c r="F162" s="21">
        <f>№6!G110</f>
        <v>256.3</v>
      </c>
    </row>
    <row r="163" spans="1:6" ht="31.5">
      <c r="A163" s="211" t="s">
        <v>66</v>
      </c>
      <c r="B163" s="211">
        <v>9990210540</v>
      </c>
      <c r="C163" s="211" t="s">
        <v>75</v>
      </c>
      <c r="D163" s="30" t="s">
        <v>107</v>
      </c>
      <c r="E163" s="21">
        <f>E164</f>
        <v>7.7</v>
      </c>
      <c r="F163" s="21">
        <f t="shared" ref="F163" si="54">F164</f>
        <v>7.7</v>
      </c>
    </row>
    <row r="164" spans="1:6" ht="31.5">
      <c r="A164" s="211" t="s">
        <v>66</v>
      </c>
      <c r="B164" s="211">
        <v>9990210540</v>
      </c>
      <c r="C164" s="211">
        <v>240</v>
      </c>
      <c r="D164" s="30" t="s">
        <v>441</v>
      </c>
      <c r="E164" s="21">
        <f>№6!F112</f>
        <v>7.7</v>
      </c>
      <c r="F164" s="21">
        <f>№6!G112</f>
        <v>7.7</v>
      </c>
    </row>
    <row r="165" spans="1:6" ht="78.75">
      <c r="A165" s="211" t="s">
        <v>66</v>
      </c>
      <c r="B165" s="211">
        <v>9990210570</v>
      </c>
      <c r="C165" s="211"/>
      <c r="D165" s="212" t="s">
        <v>390</v>
      </c>
      <c r="E165" s="28">
        <f>E166</f>
        <v>2.6</v>
      </c>
      <c r="F165" s="28">
        <f t="shared" ref="F165:F166" si="55">F166</f>
        <v>2.6</v>
      </c>
    </row>
    <row r="166" spans="1:6" ht="63">
      <c r="A166" s="211" t="s">
        <v>66</v>
      </c>
      <c r="B166" s="211">
        <v>9990210570</v>
      </c>
      <c r="C166" s="211" t="s">
        <v>74</v>
      </c>
      <c r="D166" s="212" t="s">
        <v>2</v>
      </c>
      <c r="E166" s="28">
        <f>E167</f>
        <v>2.6</v>
      </c>
      <c r="F166" s="28">
        <f t="shared" si="55"/>
        <v>2.6</v>
      </c>
    </row>
    <row r="167" spans="1:6" ht="31.5">
      <c r="A167" s="211" t="s">
        <v>66</v>
      </c>
      <c r="B167" s="211">
        <v>9990210570</v>
      </c>
      <c r="C167" s="211">
        <v>120</v>
      </c>
      <c r="D167" s="212" t="s">
        <v>443</v>
      </c>
      <c r="E167" s="28">
        <f>№6!F115</f>
        <v>2.6</v>
      </c>
      <c r="F167" s="28">
        <f>№6!G115</f>
        <v>2.6</v>
      </c>
    </row>
    <row r="168" spans="1:6" ht="51.6" customHeight="1">
      <c r="A168" s="201" t="s">
        <v>66</v>
      </c>
      <c r="B168" s="211">
        <v>9990225000</v>
      </c>
      <c r="C168" s="211"/>
      <c r="D168" s="30" t="s">
        <v>139</v>
      </c>
      <c r="E168" s="21">
        <f>E169+E171</f>
        <v>4455.6000000000004</v>
      </c>
      <c r="F168" s="21">
        <f t="shared" ref="F168" si="56">F169+F171</f>
        <v>4445.2</v>
      </c>
    </row>
    <row r="169" spans="1:6" ht="63">
      <c r="A169" s="201" t="s">
        <v>66</v>
      </c>
      <c r="B169" s="211">
        <v>9990225000</v>
      </c>
      <c r="C169" s="201" t="s">
        <v>74</v>
      </c>
      <c r="D169" s="212" t="s">
        <v>2</v>
      </c>
      <c r="E169" s="21">
        <f>E170</f>
        <v>4389.8</v>
      </c>
      <c r="F169" s="21">
        <f t="shared" ref="F169" si="57">F170</f>
        <v>4379.3999999999996</v>
      </c>
    </row>
    <row r="170" spans="1:6" ht="34.15" customHeight="1">
      <c r="A170" s="201" t="s">
        <v>66</v>
      </c>
      <c r="B170" s="211">
        <v>9990225000</v>
      </c>
      <c r="C170" s="211">
        <v>120</v>
      </c>
      <c r="D170" s="30" t="s">
        <v>443</v>
      </c>
      <c r="E170" s="21">
        <f>№6!F580</f>
        <v>4389.8</v>
      </c>
      <c r="F170" s="21">
        <f>№6!G580</f>
        <v>4379.3999999999996</v>
      </c>
    </row>
    <row r="171" spans="1:6" ht="31.5">
      <c r="A171" s="201" t="s">
        <v>66</v>
      </c>
      <c r="B171" s="211">
        <v>9990225000</v>
      </c>
      <c r="C171" s="201" t="s">
        <v>75</v>
      </c>
      <c r="D171" s="212" t="s">
        <v>107</v>
      </c>
      <c r="E171" s="21">
        <f>E172</f>
        <v>65.8</v>
      </c>
      <c r="F171" s="21">
        <f t="shared" ref="F171" si="58">F172</f>
        <v>65.8</v>
      </c>
    </row>
    <row r="172" spans="1:6" ht="31.15" customHeight="1">
      <c r="A172" s="201" t="s">
        <v>66</v>
      </c>
      <c r="B172" s="211">
        <v>9990225000</v>
      </c>
      <c r="C172" s="211">
        <v>240</v>
      </c>
      <c r="D172" s="30" t="s">
        <v>441</v>
      </c>
      <c r="E172" s="21">
        <f>№6!F582</f>
        <v>65.8</v>
      </c>
      <c r="F172" s="21">
        <f>№6!G582</f>
        <v>65.8</v>
      </c>
    </row>
    <row r="173" spans="1:6" ht="45.75" customHeight="1">
      <c r="A173" s="211" t="s">
        <v>66</v>
      </c>
      <c r="B173" s="211">
        <v>9990226000</v>
      </c>
      <c r="C173" s="211"/>
      <c r="D173" s="30" t="s">
        <v>191</v>
      </c>
      <c r="E173" s="21">
        <f>E174</f>
        <v>329.7</v>
      </c>
      <c r="F173" s="21">
        <f t="shared" ref="F173:F174" si="59">F174</f>
        <v>329.7</v>
      </c>
    </row>
    <row r="174" spans="1:6" ht="63">
      <c r="A174" s="211" t="s">
        <v>66</v>
      </c>
      <c r="B174" s="211">
        <v>9990226000</v>
      </c>
      <c r="C174" s="211" t="s">
        <v>74</v>
      </c>
      <c r="D174" s="30" t="s">
        <v>2</v>
      </c>
      <c r="E174" s="21">
        <f>E175</f>
        <v>329.7</v>
      </c>
      <c r="F174" s="21">
        <f t="shared" si="59"/>
        <v>329.7</v>
      </c>
    </row>
    <row r="175" spans="1:6" ht="33.6" customHeight="1">
      <c r="A175" s="211" t="s">
        <v>66</v>
      </c>
      <c r="B175" s="211">
        <v>9990226000</v>
      </c>
      <c r="C175" s="211">
        <v>120</v>
      </c>
      <c r="D175" s="30" t="s">
        <v>443</v>
      </c>
      <c r="E175" s="21">
        <f>№6!F118</f>
        <v>329.7</v>
      </c>
      <c r="F175" s="21">
        <f>№6!G118</f>
        <v>329.7</v>
      </c>
    </row>
    <row r="176" spans="1:6" ht="31.5">
      <c r="A176" s="211" t="s">
        <v>66</v>
      </c>
      <c r="B176" s="211">
        <v>9990300000</v>
      </c>
      <c r="C176" s="211"/>
      <c r="D176" s="30" t="s">
        <v>204</v>
      </c>
      <c r="E176" s="21">
        <f>E177+E179+E183+E181</f>
        <v>17967.799999999996</v>
      </c>
      <c r="F176" s="21">
        <f t="shared" ref="F176" si="60">F177+F179+F183+F181</f>
        <v>17832.699999999997</v>
      </c>
    </row>
    <row r="177" spans="1:6" ht="60.75" customHeight="1">
      <c r="A177" s="211" t="s">
        <v>66</v>
      </c>
      <c r="B177" s="211">
        <v>9990300000</v>
      </c>
      <c r="C177" s="211" t="s">
        <v>74</v>
      </c>
      <c r="D177" s="30" t="s">
        <v>2</v>
      </c>
      <c r="E177" s="21">
        <f>E178</f>
        <v>14485.899999999998</v>
      </c>
      <c r="F177" s="21">
        <f t="shared" ref="F177" si="61">F178</f>
        <v>14485.9</v>
      </c>
    </row>
    <row r="178" spans="1:6">
      <c r="A178" s="211" t="s">
        <v>66</v>
      </c>
      <c r="B178" s="211">
        <v>9990300000</v>
      </c>
      <c r="C178" s="211">
        <v>110</v>
      </c>
      <c r="D178" s="23" t="s">
        <v>205</v>
      </c>
      <c r="E178" s="21">
        <f>№6!F121</f>
        <v>14485.899999999998</v>
      </c>
      <c r="F178" s="21">
        <f>№6!G121</f>
        <v>14485.9</v>
      </c>
    </row>
    <row r="179" spans="1:6" ht="31.5">
      <c r="A179" s="211" t="s">
        <v>66</v>
      </c>
      <c r="B179" s="211">
        <v>9990300000</v>
      </c>
      <c r="C179" s="211" t="s">
        <v>75</v>
      </c>
      <c r="D179" s="30" t="s">
        <v>107</v>
      </c>
      <c r="E179" s="21">
        <f>E180</f>
        <v>3437.7999999999993</v>
      </c>
      <c r="F179" s="21">
        <f t="shared" ref="F179" si="62">F180</f>
        <v>3302.7</v>
      </c>
    </row>
    <row r="180" spans="1:6" ht="36" customHeight="1">
      <c r="A180" s="211" t="s">
        <v>66</v>
      </c>
      <c r="B180" s="211">
        <v>9990300000</v>
      </c>
      <c r="C180" s="211">
        <v>240</v>
      </c>
      <c r="D180" s="30" t="s">
        <v>441</v>
      </c>
      <c r="E180" s="21">
        <f>№6!F123</f>
        <v>3437.7999999999993</v>
      </c>
      <c r="F180" s="21">
        <f>№6!G123</f>
        <v>3302.7</v>
      </c>
    </row>
    <row r="181" spans="1:6" ht="15.75" customHeight="1">
      <c r="A181" s="211" t="s">
        <v>66</v>
      </c>
      <c r="B181" s="211">
        <v>9990300000</v>
      </c>
      <c r="C181" s="211">
        <v>300</v>
      </c>
      <c r="D181" s="212" t="s">
        <v>80</v>
      </c>
      <c r="E181" s="21">
        <f>E182</f>
        <v>15</v>
      </c>
      <c r="F181" s="21">
        <f t="shared" ref="F181" si="63">F182</f>
        <v>15</v>
      </c>
    </row>
    <row r="182" spans="1:6" ht="31.5" customHeight="1">
      <c r="A182" s="211" t="s">
        <v>66</v>
      </c>
      <c r="B182" s="211">
        <v>9990300000</v>
      </c>
      <c r="C182" s="211">
        <v>320</v>
      </c>
      <c r="D182" s="212" t="s">
        <v>121</v>
      </c>
      <c r="E182" s="21">
        <f>№6!F125</f>
        <v>15</v>
      </c>
      <c r="F182" s="21">
        <f>№6!G125</f>
        <v>15</v>
      </c>
    </row>
    <row r="183" spans="1:6">
      <c r="A183" s="211" t="s">
        <v>66</v>
      </c>
      <c r="B183" s="211">
        <v>9990300000</v>
      </c>
      <c r="C183" s="211" t="s">
        <v>76</v>
      </c>
      <c r="D183" s="30" t="s">
        <v>77</v>
      </c>
      <c r="E183" s="21">
        <f>E184</f>
        <v>29.100000000000023</v>
      </c>
      <c r="F183" s="21">
        <f t="shared" ref="F183" si="64">F184</f>
        <v>29.1</v>
      </c>
    </row>
    <row r="184" spans="1:6">
      <c r="A184" s="211" t="s">
        <v>66</v>
      </c>
      <c r="B184" s="211">
        <v>9990300000</v>
      </c>
      <c r="C184" s="211">
        <v>850</v>
      </c>
      <c r="D184" s="30" t="s">
        <v>119</v>
      </c>
      <c r="E184" s="21">
        <f>№6!F127</f>
        <v>29.100000000000023</v>
      </c>
      <c r="F184" s="21">
        <f>№6!G127</f>
        <v>29.1</v>
      </c>
    </row>
    <row r="185" spans="1:6" ht="47.25">
      <c r="A185" s="211" t="s">
        <v>66</v>
      </c>
      <c r="B185" s="211">
        <v>9990310200</v>
      </c>
      <c r="C185" s="211"/>
      <c r="D185" s="212" t="s">
        <v>349</v>
      </c>
      <c r="E185" s="21">
        <f>E186</f>
        <v>298.10000000000002</v>
      </c>
      <c r="F185" s="21">
        <f t="shared" ref="F185:F186" si="65">F186</f>
        <v>298.10000000000002</v>
      </c>
    </row>
    <row r="186" spans="1:6" ht="63">
      <c r="A186" s="211" t="s">
        <v>66</v>
      </c>
      <c r="B186" s="211">
        <v>9990310200</v>
      </c>
      <c r="C186" s="211" t="s">
        <v>74</v>
      </c>
      <c r="D186" s="212" t="s">
        <v>2</v>
      </c>
      <c r="E186" s="21">
        <f>E187</f>
        <v>298.10000000000002</v>
      </c>
      <c r="F186" s="21">
        <f t="shared" si="65"/>
        <v>298.10000000000002</v>
      </c>
    </row>
    <row r="187" spans="1:6">
      <c r="A187" s="201" t="s">
        <v>66</v>
      </c>
      <c r="B187" s="211">
        <v>9990310200</v>
      </c>
      <c r="C187" s="211">
        <v>110</v>
      </c>
      <c r="D187" s="22" t="s">
        <v>205</v>
      </c>
      <c r="E187" s="21">
        <f>№6!F130</f>
        <v>298.10000000000002</v>
      </c>
      <c r="F187" s="21">
        <f>№6!G130</f>
        <v>298.10000000000002</v>
      </c>
    </row>
    <row r="188" spans="1:6" ht="47.25">
      <c r="A188" s="211" t="s">
        <v>66</v>
      </c>
      <c r="B188" s="211" t="s">
        <v>469</v>
      </c>
      <c r="C188" s="211"/>
      <c r="D188" s="212" t="s">
        <v>354</v>
      </c>
      <c r="E188" s="21">
        <f>E189</f>
        <v>29.8</v>
      </c>
      <c r="F188" s="21">
        <f t="shared" ref="F188:F189" si="66">F189</f>
        <v>29.8</v>
      </c>
    </row>
    <row r="189" spans="1:6" ht="63">
      <c r="A189" s="211" t="s">
        <v>66</v>
      </c>
      <c r="B189" s="211" t="s">
        <v>469</v>
      </c>
      <c r="C189" s="211" t="s">
        <v>74</v>
      </c>
      <c r="D189" s="212" t="s">
        <v>2</v>
      </c>
      <c r="E189" s="21">
        <f>E190</f>
        <v>29.8</v>
      </c>
      <c r="F189" s="21">
        <f t="shared" si="66"/>
        <v>29.8</v>
      </c>
    </row>
    <row r="190" spans="1:6">
      <c r="A190" s="201" t="s">
        <v>66</v>
      </c>
      <c r="B190" s="211" t="s">
        <v>469</v>
      </c>
      <c r="C190" s="211">
        <v>110</v>
      </c>
      <c r="D190" s="22" t="s">
        <v>205</v>
      </c>
      <c r="E190" s="21">
        <f>№6!F133</f>
        <v>29.8</v>
      </c>
      <c r="F190" s="21">
        <f>№6!G133</f>
        <v>29.8</v>
      </c>
    </row>
    <row r="191" spans="1:6">
      <c r="A191" s="19" t="s">
        <v>61</v>
      </c>
      <c r="B191" s="19" t="s">
        <v>72</v>
      </c>
      <c r="C191" s="19" t="s">
        <v>72</v>
      </c>
      <c r="D191" s="26" t="s">
        <v>29</v>
      </c>
      <c r="E191" s="366">
        <f>E192+E204</f>
        <v>8600.5</v>
      </c>
      <c r="F191" s="366">
        <f t="shared" ref="F191" si="67">F192+F204</f>
        <v>8600.4</v>
      </c>
    </row>
    <row r="192" spans="1:6">
      <c r="A192" s="211" t="s">
        <v>81</v>
      </c>
      <c r="B192" s="211" t="s">
        <v>72</v>
      </c>
      <c r="C192" s="211" t="s">
        <v>72</v>
      </c>
      <c r="D192" s="30" t="s">
        <v>82</v>
      </c>
      <c r="E192" s="21">
        <f>E193</f>
        <v>1891.7000000000003</v>
      </c>
      <c r="F192" s="21">
        <f t="shared" ref="F192:F194" si="68">F193</f>
        <v>1891.6</v>
      </c>
    </row>
    <row r="193" spans="1:6">
      <c r="A193" s="211" t="s">
        <v>81</v>
      </c>
      <c r="B193" s="211">
        <v>9900000000</v>
      </c>
      <c r="C193" s="211"/>
      <c r="D193" s="30" t="s">
        <v>124</v>
      </c>
      <c r="E193" s="21">
        <f>E194</f>
        <v>1891.7000000000003</v>
      </c>
      <c r="F193" s="21">
        <f t="shared" si="68"/>
        <v>1891.6</v>
      </c>
    </row>
    <row r="194" spans="1:6" ht="31.5">
      <c r="A194" s="211" t="s">
        <v>81</v>
      </c>
      <c r="B194" s="211">
        <v>9990000000</v>
      </c>
      <c r="C194" s="211"/>
      <c r="D194" s="30" t="s">
        <v>189</v>
      </c>
      <c r="E194" s="21">
        <f>E195</f>
        <v>1891.7000000000003</v>
      </c>
      <c r="F194" s="21">
        <f t="shared" si="68"/>
        <v>1891.6</v>
      </c>
    </row>
    <row r="195" spans="1:6" ht="31.5">
      <c r="A195" s="211" t="s">
        <v>81</v>
      </c>
      <c r="B195" s="211">
        <v>9990200000</v>
      </c>
      <c r="C195" s="30"/>
      <c r="D195" s="30" t="s">
        <v>138</v>
      </c>
      <c r="E195" s="21">
        <f>E196+E199</f>
        <v>1891.7000000000003</v>
      </c>
      <c r="F195" s="21">
        <f t="shared" ref="F195" si="69">F196+F199</f>
        <v>1891.6</v>
      </c>
    </row>
    <row r="196" spans="1:6" ht="46.5" customHeight="1">
      <c r="A196" s="211" t="s">
        <v>81</v>
      </c>
      <c r="B196" s="211">
        <v>9990226000</v>
      </c>
      <c r="C196" s="211"/>
      <c r="D196" s="30" t="s">
        <v>191</v>
      </c>
      <c r="E196" s="21">
        <f>E197</f>
        <v>131.69999999999999</v>
      </c>
      <c r="F196" s="21">
        <f t="shared" ref="F196:F197" si="70">F197</f>
        <v>131.6</v>
      </c>
    </row>
    <row r="197" spans="1:6" ht="63">
      <c r="A197" s="211" t="s">
        <v>81</v>
      </c>
      <c r="B197" s="211">
        <v>9990226000</v>
      </c>
      <c r="C197" s="211" t="s">
        <v>74</v>
      </c>
      <c r="D197" s="30" t="s">
        <v>2</v>
      </c>
      <c r="E197" s="21">
        <f>E198</f>
        <v>131.69999999999999</v>
      </c>
      <c r="F197" s="21">
        <f t="shared" si="70"/>
        <v>131.6</v>
      </c>
    </row>
    <row r="198" spans="1:6" ht="31.5" customHeight="1">
      <c r="A198" s="211" t="s">
        <v>81</v>
      </c>
      <c r="B198" s="211">
        <v>9990226000</v>
      </c>
      <c r="C198" s="211">
        <v>120</v>
      </c>
      <c r="D198" s="30" t="s">
        <v>443</v>
      </c>
      <c r="E198" s="21">
        <f>№6!F141</f>
        <v>131.69999999999999</v>
      </c>
      <c r="F198" s="21">
        <f>№6!G141</f>
        <v>131.6</v>
      </c>
    </row>
    <row r="199" spans="1:6" ht="31.5">
      <c r="A199" s="211" t="s">
        <v>81</v>
      </c>
      <c r="B199" s="211">
        <v>9990259300</v>
      </c>
      <c r="C199" s="211"/>
      <c r="D199" s="30" t="s">
        <v>206</v>
      </c>
      <c r="E199" s="21">
        <f>E200+E202</f>
        <v>1760.0000000000002</v>
      </c>
      <c r="F199" s="21">
        <f t="shared" ref="F199" si="71">F200+F202</f>
        <v>1760</v>
      </c>
    </row>
    <row r="200" spans="1:6" ht="63">
      <c r="A200" s="211" t="s">
        <v>81</v>
      </c>
      <c r="B200" s="211">
        <v>9990259300</v>
      </c>
      <c r="C200" s="211" t="s">
        <v>74</v>
      </c>
      <c r="D200" s="30" t="s">
        <v>2</v>
      </c>
      <c r="E200" s="21">
        <f>E201</f>
        <v>1377.8000000000002</v>
      </c>
      <c r="F200" s="21">
        <f t="shared" ref="F200" si="72">F201</f>
        <v>1377.8</v>
      </c>
    </row>
    <row r="201" spans="1:6" ht="32.450000000000003" customHeight="1">
      <c r="A201" s="211" t="s">
        <v>81</v>
      </c>
      <c r="B201" s="211">
        <v>9990259300</v>
      </c>
      <c r="C201" s="211">
        <v>120</v>
      </c>
      <c r="D201" s="30" t="s">
        <v>443</v>
      </c>
      <c r="E201" s="21">
        <f>№6!F144</f>
        <v>1377.8000000000002</v>
      </c>
      <c r="F201" s="21">
        <f>№6!G144</f>
        <v>1377.8</v>
      </c>
    </row>
    <row r="202" spans="1:6" ht="31.5">
      <c r="A202" s="211" t="s">
        <v>81</v>
      </c>
      <c r="B202" s="211">
        <v>9990259300</v>
      </c>
      <c r="C202" s="211" t="s">
        <v>75</v>
      </c>
      <c r="D202" s="30" t="s">
        <v>107</v>
      </c>
      <c r="E202" s="21">
        <f>E203</f>
        <v>382.2</v>
      </c>
      <c r="F202" s="21">
        <f t="shared" ref="F202" si="73">F203</f>
        <v>382.2</v>
      </c>
    </row>
    <row r="203" spans="1:6" ht="33.6" customHeight="1">
      <c r="A203" s="211" t="s">
        <v>81</v>
      </c>
      <c r="B203" s="211">
        <v>9990259300</v>
      </c>
      <c r="C203" s="211">
        <v>240</v>
      </c>
      <c r="D203" s="30" t="s">
        <v>441</v>
      </c>
      <c r="E203" s="21">
        <f>№6!F146</f>
        <v>382.2</v>
      </c>
      <c r="F203" s="21">
        <f>№6!G146</f>
        <v>382.2</v>
      </c>
    </row>
    <row r="204" spans="1:6" ht="31.5">
      <c r="A204" s="211" t="s">
        <v>53</v>
      </c>
      <c r="B204" s="211"/>
      <c r="C204" s="211"/>
      <c r="D204" s="30" t="s">
        <v>19</v>
      </c>
      <c r="E204" s="21">
        <f t="shared" ref="E204:F212" si="74">E205</f>
        <v>6708.8</v>
      </c>
      <c r="F204" s="21">
        <f t="shared" si="74"/>
        <v>6708.8</v>
      </c>
    </row>
    <row r="205" spans="1:6" ht="31.5">
      <c r="A205" s="211" t="s">
        <v>53</v>
      </c>
      <c r="B205" s="201">
        <v>1500000000</v>
      </c>
      <c r="C205" s="211"/>
      <c r="D205" s="30" t="s">
        <v>232</v>
      </c>
      <c r="E205" s="21">
        <f t="shared" si="74"/>
        <v>6708.8</v>
      </c>
      <c r="F205" s="21">
        <f t="shared" si="74"/>
        <v>6708.8</v>
      </c>
    </row>
    <row r="206" spans="1:6">
      <c r="A206" s="211" t="s">
        <v>53</v>
      </c>
      <c r="B206" s="211">
        <v>1510000000</v>
      </c>
      <c r="C206" s="211"/>
      <c r="D206" s="30" t="s">
        <v>196</v>
      </c>
      <c r="E206" s="21">
        <f t="shared" si="74"/>
        <v>6708.8</v>
      </c>
      <c r="F206" s="21">
        <f t="shared" si="74"/>
        <v>6708.8</v>
      </c>
    </row>
    <row r="207" spans="1:6" ht="47.25">
      <c r="A207" s="211" t="s">
        <v>53</v>
      </c>
      <c r="B207" s="211">
        <v>1510100000</v>
      </c>
      <c r="C207" s="211"/>
      <c r="D207" s="30" t="s">
        <v>235</v>
      </c>
      <c r="E207" s="21">
        <f>E211+E208+E214</f>
        <v>6708.8</v>
      </c>
      <c r="F207" s="21">
        <f t="shared" ref="F207" si="75">F211+F208+F214</f>
        <v>6708.8</v>
      </c>
    </row>
    <row r="208" spans="1:6" ht="47.25">
      <c r="A208" s="211" t="s">
        <v>53</v>
      </c>
      <c r="B208" s="211">
        <v>1510110200</v>
      </c>
      <c r="C208" s="211"/>
      <c r="D208" s="9" t="s">
        <v>349</v>
      </c>
      <c r="E208" s="21">
        <f>E209</f>
        <v>41.3</v>
      </c>
      <c r="F208" s="21">
        <f t="shared" ref="F208:F209" si="76">F209</f>
        <v>41.3</v>
      </c>
    </row>
    <row r="209" spans="1:6" ht="31.5">
      <c r="A209" s="211" t="s">
        <v>53</v>
      </c>
      <c r="B209" s="211">
        <v>1510110200</v>
      </c>
      <c r="C209" s="211">
        <v>600</v>
      </c>
      <c r="D209" s="212" t="s">
        <v>90</v>
      </c>
      <c r="E209" s="21">
        <f>E210</f>
        <v>41.3</v>
      </c>
      <c r="F209" s="21">
        <f t="shared" si="76"/>
        <v>41.3</v>
      </c>
    </row>
    <row r="210" spans="1:6">
      <c r="A210" s="211" t="s">
        <v>53</v>
      </c>
      <c r="B210" s="211">
        <v>1510110200</v>
      </c>
      <c r="C210" s="211">
        <v>610</v>
      </c>
      <c r="D210" s="212" t="s">
        <v>123</v>
      </c>
      <c r="E210" s="21">
        <f>№6!F153</f>
        <v>41.3</v>
      </c>
      <c r="F210" s="21">
        <f>№6!G153</f>
        <v>41.3</v>
      </c>
    </row>
    <row r="211" spans="1:6" ht="31.5">
      <c r="A211" s="211" t="s">
        <v>53</v>
      </c>
      <c r="B211" s="211">
        <v>1510120010</v>
      </c>
      <c r="C211" s="211"/>
      <c r="D211" s="30" t="s">
        <v>144</v>
      </c>
      <c r="E211" s="21">
        <f t="shared" si="74"/>
        <v>6663.4</v>
      </c>
      <c r="F211" s="21">
        <f t="shared" si="74"/>
        <v>6663.4</v>
      </c>
    </row>
    <row r="212" spans="1:6" ht="31.5">
      <c r="A212" s="211" t="s">
        <v>53</v>
      </c>
      <c r="B212" s="211">
        <v>1510120010</v>
      </c>
      <c r="C212" s="211">
        <v>600</v>
      </c>
      <c r="D212" s="30" t="s">
        <v>90</v>
      </c>
      <c r="E212" s="21">
        <f t="shared" si="74"/>
        <v>6663.4</v>
      </c>
      <c r="F212" s="21">
        <f t="shared" si="74"/>
        <v>6663.4</v>
      </c>
    </row>
    <row r="213" spans="1:6">
      <c r="A213" s="211" t="s">
        <v>53</v>
      </c>
      <c r="B213" s="211">
        <v>1510120010</v>
      </c>
      <c r="C213" s="211">
        <v>610</v>
      </c>
      <c r="D213" s="212" t="s">
        <v>123</v>
      </c>
      <c r="E213" s="21">
        <f>№6!F156</f>
        <v>6663.4</v>
      </c>
      <c r="F213" s="21">
        <f>№6!G156</f>
        <v>6663.4</v>
      </c>
    </row>
    <row r="214" spans="1:6" ht="47.25">
      <c r="A214" s="211" t="s">
        <v>53</v>
      </c>
      <c r="B214" s="211" t="s">
        <v>353</v>
      </c>
      <c r="C214" s="211"/>
      <c r="D214" s="9" t="s">
        <v>349</v>
      </c>
      <c r="E214" s="21">
        <f>E215</f>
        <v>4.0999999999999996</v>
      </c>
      <c r="F214" s="21">
        <f t="shared" ref="F214:F215" si="77">F215</f>
        <v>4.0999999999999996</v>
      </c>
    </row>
    <row r="215" spans="1:6" ht="31.5">
      <c r="A215" s="211" t="s">
        <v>53</v>
      </c>
      <c r="B215" s="211" t="s">
        <v>353</v>
      </c>
      <c r="C215" s="211">
        <v>600</v>
      </c>
      <c r="D215" s="212" t="s">
        <v>110</v>
      </c>
      <c r="E215" s="21">
        <f>E216</f>
        <v>4.0999999999999996</v>
      </c>
      <c r="F215" s="21">
        <f t="shared" si="77"/>
        <v>4.0999999999999996</v>
      </c>
    </row>
    <row r="216" spans="1:6">
      <c r="A216" s="211" t="s">
        <v>53</v>
      </c>
      <c r="B216" s="211" t="s">
        <v>353</v>
      </c>
      <c r="C216" s="211">
        <v>610</v>
      </c>
      <c r="D216" s="212" t="s">
        <v>123</v>
      </c>
      <c r="E216" s="21">
        <f>№6!F159</f>
        <v>4.0999999999999996</v>
      </c>
      <c r="F216" s="21">
        <f>№6!G159</f>
        <v>4.0999999999999996</v>
      </c>
    </row>
    <row r="217" spans="1:6">
      <c r="A217" s="19" t="s">
        <v>62</v>
      </c>
      <c r="B217" s="19" t="s">
        <v>72</v>
      </c>
      <c r="C217" s="19" t="s">
        <v>72</v>
      </c>
      <c r="D217" s="26" t="s">
        <v>30</v>
      </c>
      <c r="E217" s="366">
        <f>E218+E225+E232+E254</f>
        <v>126811.59999999999</v>
      </c>
      <c r="F217" s="366">
        <f>F218+F225+F232+F254</f>
        <v>112347.3</v>
      </c>
    </row>
    <row r="218" spans="1:6">
      <c r="A218" s="24" t="s">
        <v>116</v>
      </c>
      <c r="B218" s="30"/>
      <c r="C218" s="30"/>
      <c r="D218" s="30" t="s">
        <v>117</v>
      </c>
      <c r="E218" s="21">
        <f t="shared" ref="E218:F223" si="78">E219</f>
        <v>366.9</v>
      </c>
      <c r="F218" s="21">
        <f t="shared" si="78"/>
        <v>366.9</v>
      </c>
    </row>
    <row r="219" spans="1:6" ht="31.5">
      <c r="A219" s="24" t="s">
        <v>116</v>
      </c>
      <c r="B219" s="201">
        <v>1100000000</v>
      </c>
      <c r="C219" s="30"/>
      <c r="D219" s="30" t="s">
        <v>236</v>
      </c>
      <c r="E219" s="21">
        <f t="shared" si="78"/>
        <v>366.9</v>
      </c>
      <c r="F219" s="21">
        <f t="shared" si="78"/>
        <v>366.9</v>
      </c>
    </row>
    <row r="220" spans="1:6" ht="31.5">
      <c r="A220" s="24" t="s">
        <v>116</v>
      </c>
      <c r="B220" s="201">
        <v>1130000000</v>
      </c>
      <c r="C220" s="30"/>
      <c r="D220" s="30" t="s">
        <v>135</v>
      </c>
      <c r="E220" s="21">
        <f t="shared" si="78"/>
        <v>366.9</v>
      </c>
      <c r="F220" s="21">
        <f t="shared" si="78"/>
        <v>366.9</v>
      </c>
    </row>
    <row r="221" spans="1:6" ht="47.25">
      <c r="A221" s="24" t="s">
        <v>116</v>
      </c>
      <c r="B221" s="201">
        <v>1130300000</v>
      </c>
      <c r="C221" s="30"/>
      <c r="D221" s="30" t="s">
        <v>136</v>
      </c>
      <c r="E221" s="21">
        <f t="shared" si="78"/>
        <v>366.9</v>
      </c>
      <c r="F221" s="21">
        <f t="shared" si="78"/>
        <v>366.9</v>
      </c>
    </row>
    <row r="222" spans="1:6" ht="31.5">
      <c r="A222" s="24" t="s">
        <v>116</v>
      </c>
      <c r="B222" s="201">
        <v>1130320280</v>
      </c>
      <c r="C222" s="30"/>
      <c r="D222" s="30" t="s">
        <v>137</v>
      </c>
      <c r="E222" s="21">
        <f t="shared" si="78"/>
        <v>366.9</v>
      </c>
      <c r="F222" s="21">
        <f t="shared" si="78"/>
        <v>366.9</v>
      </c>
    </row>
    <row r="223" spans="1:6" ht="31.5">
      <c r="A223" s="24" t="s">
        <v>116</v>
      </c>
      <c r="B223" s="201">
        <v>1130320280</v>
      </c>
      <c r="C223" s="201" t="s">
        <v>109</v>
      </c>
      <c r="D223" s="212" t="s">
        <v>110</v>
      </c>
      <c r="E223" s="21">
        <f t="shared" si="78"/>
        <v>366.9</v>
      </c>
      <c r="F223" s="21">
        <f t="shared" si="78"/>
        <v>366.9</v>
      </c>
    </row>
    <row r="224" spans="1:6">
      <c r="A224" s="24" t="s">
        <v>116</v>
      </c>
      <c r="B224" s="201">
        <v>1130320280</v>
      </c>
      <c r="C224" s="211">
        <v>610</v>
      </c>
      <c r="D224" s="212" t="s">
        <v>123</v>
      </c>
      <c r="E224" s="21">
        <f>№6!F167+№6!F715</f>
        <v>366.9</v>
      </c>
      <c r="F224" s="21">
        <f>№6!G167+№6!G715</f>
        <v>366.9</v>
      </c>
    </row>
    <row r="225" spans="1:6">
      <c r="A225" s="211" t="s">
        <v>95</v>
      </c>
      <c r="B225" s="211" t="s">
        <v>72</v>
      </c>
      <c r="C225" s="211" t="s">
        <v>72</v>
      </c>
      <c r="D225" s="30" t="s">
        <v>96</v>
      </c>
      <c r="E225" s="21">
        <f t="shared" ref="E225:F230" si="79">E226</f>
        <v>404</v>
      </c>
      <c r="F225" s="21">
        <f t="shared" si="79"/>
        <v>404</v>
      </c>
    </row>
    <row r="226" spans="1:6" ht="32.25" customHeight="1">
      <c r="A226" s="211" t="s">
        <v>95</v>
      </c>
      <c r="B226" s="201">
        <v>1300000000</v>
      </c>
      <c r="C226" s="211"/>
      <c r="D226" s="212" t="s">
        <v>237</v>
      </c>
      <c r="E226" s="21">
        <f t="shared" si="79"/>
        <v>404</v>
      </c>
      <c r="F226" s="21">
        <f t="shared" si="79"/>
        <v>404</v>
      </c>
    </row>
    <row r="227" spans="1:6">
      <c r="A227" s="211" t="s">
        <v>95</v>
      </c>
      <c r="B227" s="201">
        <v>1330000000</v>
      </c>
      <c r="C227" s="211"/>
      <c r="D227" s="30" t="s">
        <v>145</v>
      </c>
      <c r="E227" s="21">
        <f t="shared" si="79"/>
        <v>404</v>
      </c>
      <c r="F227" s="21">
        <f t="shared" si="79"/>
        <v>404</v>
      </c>
    </row>
    <row r="228" spans="1:6" ht="31.5">
      <c r="A228" s="211" t="s">
        <v>95</v>
      </c>
      <c r="B228" s="201">
        <v>1330100000</v>
      </c>
      <c r="C228" s="211"/>
      <c r="D228" s="30" t="s">
        <v>238</v>
      </c>
      <c r="E228" s="21">
        <f t="shared" si="79"/>
        <v>404</v>
      </c>
      <c r="F228" s="21">
        <f t="shared" si="79"/>
        <v>404</v>
      </c>
    </row>
    <row r="229" spans="1:6" ht="78.75">
      <c r="A229" s="211" t="s">
        <v>95</v>
      </c>
      <c r="B229" s="201">
        <v>1330110550</v>
      </c>
      <c r="C229" s="211"/>
      <c r="D229" s="212" t="s">
        <v>312</v>
      </c>
      <c r="E229" s="21">
        <f t="shared" si="79"/>
        <v>404</v>
      </c>
      <c r="F229" s="21">
        <f t="shared" si="79"/>
        <v>404</v>
      </c>
    </row>
    <row r="230" spans="1:6" ht="31.5">
      <c r="A230" s="211" t="s">
        <v>95</v>
      </c>
      <c r="B230" s="201">
        <v>1330110550</v>
      </c>
      <c r="C230" s="201" t="s">
        <v>75</v>
      </c>
      <c r="D230" s="212" t="s">
        <v>107</v>
      </c>
      <c r="E230" s="21">
        <f t="shared" si="79"/>
        <v>404</v>
      </c>
      <c r="F230" s="21">
        <f t="shared" si="79"/>
        <v>404</v>
      </c>
    </row>
    <row r="231" spans="1:6" ht="31.9" customHeight="1">
      <c r="A231" s="211" t="s">
        <v>95</v>
      </c>
      <c r="B231" s="201">
        <v>1330110550</v>
      </c>
      <c r="C231" s="211">
        <v>240</v>
      </c>
      <c r="D231" s="212" t="s">
        <v>441</v>
      </c>
      <c r="E231" s="21">
        <f>№6!F174</f>
        <v>404</v>
      </c>
      <c r="F231" s="21">
        <f>№6!G174</f>
        <v>404</v>
      </c>
    </row>
    <row r="232" spans="1:6">
      <c r="A232" s="211" t="s">
        <v>9</v>
      </c>
      <c r="B232" s="211" t="s">
        <v>72</v>
      </c>
      <c r="C232" s="211" t="s">
        <v>72</v>
      </c>
      <c r="D232" s="30" t="s">
        <v>99</v>
      </c>
      <c r="E232" s="21">
        <f>E233</f>
        <v>122277.09999999999</v>
      </c>
      <c r="F232" s="21">
        <f t="shared" ref="F232" si="80">F233</f>
        <v>107813.3</v>
      </c>
    </row>
    <row r="233" spans="1:6" ht="47.25">
      <c r="A233" s="211" t="s">
        <v>9</v>
      </c>
      <c r="B233" s="201">
        <v>1400000000</v>
      </c>
      <c r="C233" s="211"/>
      <c r="D233" s="212" t="s">
        <v>239</v>
      </c>
      <c r="E233" s="21">
        <f>E234+E249</f>
        <v>122277.09999999999</v>
      </c>
      <c r="F233" s="21">
        <f>F234+F249</f>
        <v>107813.3</v>
      </c>
    </row>
    <row r="234" spans="1:6">
      <c r="A234" s="211" t="s">
        <v>9</v>
      </c>
      <c r="B234" s="201">
        <v>1410000000</v>
      </c>
      <c r="C234" s="211"/>
      <c r="D234" s="30" t="s">
        <v>146</v>
      </c>
      <c r="E234" s="21">
        <f>E235+E239</f>
        <v>118777.09999999999</v>
      </c>
      <c r="F234" s="21">
        <f t="shared" ref="F234" si="81">F235+F239</f>
        <v>104313.3</v>
      </c>
    </row>
    <row r="235" spans="1:6">
      <c r="A235" s="211" t="s">
        <v>9</v>
      </c>
      <c r="B235" s="201">
        <v>1410100000</v>
      </c>
      <c r="C235" s="30"/>
      <c r="D235" s="30" t="s">
        <v>240</v>
      </c>
      <c r="E235" s="21">
        <f>E236</f>
        <v>23841.7</v>
      </c>
      <c r="F235" s="21">
        <f t="shared" ref="F235:F237" si="82">F236</f>
        <v>23541.7</v>
      </c>
    </row>
    <row r="236" spans="1:6" ht="36.6" customHeight="1">
      <c r="A236" s="211" t="s">
        <v>9</v>
      </c>
      <c r="B236" s="211">
        <v>1410120100</v>
      </c>
      <c r="C236" s="211"/>
      <c r="D236" s="30" t="s">
        <v>147</v>
      </c>
      <c r="E236" s="21">
        <f>E237</f>
        <v>23841.7</v>
      </c>
      <c r="F236" s="21">
        <f t="shared" si="82"/>
        <v>23541.7</v>
      </c>
    </row>
    <row r="237" spans="1:6" ht="31.5">
      <c r="A237" s="211" t="s">
        <v>9</v>
      </c>
      <c r="B237" s="211">
        <v>1410120100</v>
      </c>
      <c r="C237" s="201" t="s">
        <v>75</v>
      </c>
      <c r="D237" s="212" t="s">
        <v>107</v>
      </c>
      <c r="E237" s="21">
        <f>E238</f>
        <v>23841.7</v>
      </c>
      <c r="F237" s="21">
        <f t="shared" si="82"/>
        <v>23541.7</v>
      </c>
    </row>
    <row r="238" spans="1:6" ht="31.9" customHeight="1">
      <c r="A238" s="211" t="s">
        <v>9</v>
      </c>
      <c r="B238" s="211">
        <v>1410120100</v>
      </c>
      <c r="C238" s="211">
        <v>240</v>
      </c>
      <c r="D238" s="212" t="s">
        <v>441</v>
      </c>
      <c r="E238" s="21">
        <f>№6!F181</f>
        <v>23841.7</v>
      </c>
      <c r="F238" s="21">
        <f>№6!G181</f>
        <v>23541.7</v>
      </c>
    </row>
    <row r="239" spans="1:6" ht="47.25">
      <c r="A239" s="211" t="s">
        <v>9</v>
      </c>
      <c r="B239" s="201">
        <v>1410200000</v>
      </c>
      <c r="C239" s="211"/>
      <c r="D239" s="30" t="s">
        <v>241</v>
      </c>
      <c r="E239" s="21">
        <f>E243+E246+E240</f>
        <v>94935.4</v>
      </c>
      <c r="F239" s="21">
        <f t="shared" ref="F239" si="83">F243+F246+F240</f>
        <v>80771.600000000006</v>
      </c>
    </row>
    <row r="240" spans="1:6" ht="31.5">
      <c r="A240" s="211" t="s">
        <v>9</v>
      </c>
      <c r="B240" s="211">
        <v>1410211050</v>
      </c>
      <c r="C240" s="211"/>
      <c r="D240" s="212" t="s">
        <v>347</v>
      </c>
      <c r="E240" s="21">
        <f>E241</f>
        <v>77453.7</v>
      </c>
      <c r="F240" s="21">
        <f t="shared" ref="F240:F241" si="84">F241</f>
        <v>63453.7</v>
      </c>
    </row>
    <row r="241" spans="1:6" ht="31.5">
      <c r="A241" s="211" t="s">
        <v>9</v>
      </c>
      <c r="B241" s="211">
        <v>1410211050</v>
      </c>
      <c r="C241" s="201" t="s">
        <v>75</v>
      </c>
      <c r="D241" s="212" t="s">
        <v>107</v>
      </c>
      <c r="E241" s="21">
        <f>E242</f>
        <v>77453.7</v>
      </c>
      <c r="F241" s="21">
        <f t="shared" si="84"/>
        <v>63453.7</v>
      </c>
    </row>
    <row r="242" spans="1:6" ht="29.45" customHeight="1">
      <c r="A242" s="211" t="s">
        <v>9</v>
      </c>
      <c r="B242" s="211">
        <v>1410211050</v>
      </c>
      <c r="C242" s="211">
        <v>240</v>
      </c>
      <c r="D242" s="212" t="s">
        <v>441</v>
      </c>
      <c r="E242" s="21">
        <f>№6!F185</f>
        <v>77453.7</v>
      </c>
      <c r="F242" s="21">
        <f>№6!G185</f>
        <v>63453.7</v>
      </c>
    </row>
    <row r="243" spans="1:6">
      <c r="A243" s="211" t="s">
        <v>9</v>
      </c>
      <c r="B243" s="211">
        <v>1410220110</v>
      </c>
      <c r="C243" s="211"/>
      <c r="D243" s="30" t="s">
        <v>148</v>
      </c>
      <c r="E243" s="21">
        <f>E244</f>
        <v>1564.4</v>
      </c>
      <c r="F243" s="21">
        <f t="shared" ref="F243:F244" si="85">F244</f>
        <v>1454.5</v>
      </c>
    </row>
    <row r="244" spans="1:6" ht="31.5">
      <c r="A244" s="211" t="s">
        <v>9</v>
      </c>
      <c r="B244" s="211">
        <v>1410220110</v>
      </c>
      <c r="C244" s="201" t="s">
        <v>75</v>
      </c>
      <c r="D244" s="212" t="s">
        <v>107</v>
      </c>
      <c r="E244" s="21">
        <f>E245</f>
        <v>1564.4</v>
      </c>
      <c r="F244" s="21">
        <f t="shared" si="85"/>
        <v>1454.5</v>
      </c>
    </row>
    <row r="245" spans="1:6" ht="33" customHeight="1">
      <c r="A245" s="211" t="s">
        <v>9</v>
      </c>
      <c r="B245" s="211">
        <v>1410220110</v>
      </c>
      <c r="C245" s="211">
        <v>240</v>
      </c>
      <c r="D245" s="212" t="s">
        <v>441</v>
      </c>
      <c r="E245" s="21">
        <f>№6!F188</f>
        <v>1564.4</v>
      </c>
      <c r="F245" s="21">
        <f>№6!G188</f>
        <v>1454.5</v>
      </c>
    </row>
    <row r="246" spans="1:6" ht="31.5">
      <c r="A246" s="211" t="s">
        <v>9</v>
      </c>
      <c r="B246" s="211" t="s">
        <v>346</v>
      </c>
      <c r="C246" s="211"/>
      <c r="D246" s="212" t="s">
        <v>345</v>
      </c>
      <c r="E246" s="28">
        <f>E247</f>
        <v>15917.299999999997</v>
      </c>
      <c r="F246" s="28">
        <f t="shared" ref="F246:F247" si="86">F247</f>
        <v>15863.4</v>
      </c>
    </row>
    <row r="247" spans="1:6" ht="31.5">
      <c r="A247" s="211" t="s">
        <v>9</v>
      </c>
      <c r="B247" s="211" t="s">
        <v>346</v>
      </c>
      <c r="C247" s="201" t="s">
        <v>75</v>
      </c>
      <c r="D247" s="212" t="s">
        <v>107</v>
      </c>
      <c r="E247" s="28">
        <f>E248</f>
        <v>15917.299999999997</v>
      </c>
      <c r="F247" s="28">
        <f t="shared" si="86"/>
        <v>15863.4</v>
      </c>
    </row>
    <row r="248" spans="1:6" ht="34.9" customHeight="1">
      <c r="A248" s="211" t="s">
        <v>9</v>
      </c>
      <c r="B248" s="211" t="s">
        <v>346</v>
      </c>
      <c r="C248" s="211">
        <v>240</v>
      </c>
      <c r="D248" s="212" t="s">
        <v>441</v>
      </c>
      <c r="E248" s="28">
        <f>№6!F191</f>
        <v>15917.299999999997</v>
      </c>
      <c r="F248" s="28">
        <f>№6!G191</f>
        <v>15863.4</v>
      </c>
    </row>
    <row r="249" spans="1:6">
      <c r="A249" s="211" t="s">
        <v>9</v>
      </c>
      <c r="B249" s="201">
        <v>1420000000</v>
      </c>
      <c r="C249" s="211"/>
      <c r="D249" s="30" t="s">
        <v>149</v>
      </c>
      <c r="E249" s="21">
        <f>E250</f>
        <v>3500</v>
      </c>
      <c r="F249" s="21">
        <f t="shared" ref="F249:F252" si="87">F250</f>
        <v>3500</v>
      </c>
    </row>
    <row r="250" spans="1:6" ht="31.5">
      <c r="A250" s="211" t="s">
        <v>9</v>
      </c>
      <c r="B250" s="201">
        <v>1420100000</v>
      </c>
      <c r="C250" s="211"/>
      <c r="D250" s="30" t="s">
        <v>242</v>
      </c>
      <c r="E250" s="21">
        <f>E251</f>
        <v>3500</v>
      </c>
      <c r="F250" s="21">
        <f t="shared" si="87"/>
        <v>3500</v>
      </c>
    </row>
    <row r="251" spans="1:6">
      <c r="A251" s="211" t="s">
        <v>9</v>
      </c>
      <c r="B251" s="211">
        <v>1420120120</v>
      </c>
      <c r="C251" s="211"/>
      <c r="D251" s="30" t="s">
        <v>150</v>
      </c>
      <c r="E251" s="21">
        <f>E252</f>
        <v>3500</v>
      </c>
      <c r="F251" s="21">
        <f t="shared" si="87"/>
        <v>3500</v>
      </c>
    </row>
    <row r="252" spans="1:6" ht="31.5">
      <c r="A252" s="211" t="s">
        <v>9</v>
      </c>
      <c r="B252" s="211">
        <v>1420120120</v>
      </c>
      <c r="C252" s="201" t="s">
        <v>75</v>
      </c>
      <c r="D252" s="212" t="s">
        <v>107</v>
      </c>
      <c r="E252" s="21">
        <f>E253</f>
        <v>3500</v>
      </c>
      <c r="F252" s="21">
        <f t="shared" si="87"/>
        <v>3500</v>
      </c>
    </row>
    <row r="253" spans="1:6" ht="31.9" customHeight="1">
      <c r="A253" s="211" t="s">
        <v>9</v>
      </c>
      <c r="B253" s="211">
        <v>1420120120</v>
      </c>
      <c r="C253" s="211">
        <v>240</v>
      </c>
      <c r="D253" s="212" t="s">
        <v>441</v>
      </c>
      <c r="E253" s="21">
        <f>№6!F196</f>
        <v>3500</v>
      </c>
      <c r="F253" s="21">
        <f>№6!G196</f>
        <v>3500</v>
      </c>
    </row>
    <row r="254" spans="1:6">
      <c r="A254" s="211" t="s">
        <v>54</v>
      </c>
      <c r="B254" s="211" t="s">
        <v>72</v>
      </c>
      <c r="C254" s="211" t="s">
        <v>72</v>
      </c>
      <c r="D254" s="30" t="s">
        <v>31</v>
      </c>
      <c r="E254" s="21">
        <f t="shared" ref="E254:F259" si="88">E255</f>
        <v>3763.6</v>
      </c>
      <c r="F254" s="21">
        <f t="shared" si="88"/>
        <v>3763.1</v>
      </c>
    </row>
    <row r="255" spans="1:6" ht="47.25">
      <c r="A255" s="211" t="s">
        <v>54</v>
      </c>
      <c r="B255" s="201">
        <v>1600000000</v>
      </c>
      <c r="C255" s="30"/>
      <c r="D255" s="212" t="s">
        <v>133</v>
      </c>
      <c r="E255" s="21">
        <f>E256+E269+E274</f>
        <v>3763.6</v>
      </c>
      <c r="F255" s="21">
        <f>F256+F269+F274</f>
        <v>3763.1</v>
      </c>
    </row>
    <row r="256" spans="1:6" ht="31.5">
      <c r="A256" s="211" t="s">
        <v>54</v>
      </c>
      <c r="B256" s="201">
        <v>1610000000</v>
      </c>
      <c r="C256" s="211"/>
      <c r="D256" s="30" t="s">
        <v>273</v>
      </c>
      <c r="E256" s="21">
        <f>E257+E261+E265</f>
        <v>3442.7</v>
      </c>
      <c r="F256" s="21">
        <f t="shared" ref="F256" si="89">F257+F261+F265</f>
        <v>3442.7</v>
      </c>
    </row>
    <row r="257" spans="1:6" ht="47.25">
      <c r="A257" s="211" t="s">
        <v>54</v>
      </c>
      <c r="B257" s="201">
        <v>1610100000</v>
      </c>
      <c r="C257" s="211"/>
      <c r="D257" s="30" t="s">
        <v>243</v>
      </c>
      <c r="E257" s="21">
        <f t="shared" si="88"/>
        <v>1917.7999999999997</v>
      </c>
      <c r="F257" s="21">
        <f t="shared" si="88"/>
        <v>1917.8</v>
      </c>
    </row>
    <row r="258" spans="1:6" ht="31.5">
      <c r="A258" s="211" t="s">
        <v>54</v>
      </c>
      <c r="B258" s="201">
        <v>1610120010</v>
      </c>
      <c r="C258" s="211"/>
      <c r="D258" s="30" t="s">
        <v>144</v>
      </c>
      <c r="E258" s="21">
        <f t="shared" si="88"/>
        <v>1917.7999999999997</v>
      </c>
      <c r="F258" s="21">
        <f t="shared" si="88"/>
        <v>1917.8</v>
      </c>
    </row>
    <row r="259" spans="1:6" ht="31.5">
      <c r="A259" s="211" t="s">
        <v>54</v>
      </c>
      <c r="B259" s="201">
        <v>1610120010</v>
      </c>
      <c r="C259" s="201" t="s">
        <v>109</v>
      </c>
      <c r="D259" s="212" t="s">
        <v>110</v>
      </c>
      <c r="E259" s="21">
        <f t="shared" si="88"/>
        <v>1917.7999999999997</v>
      </c>
      <c r="F259" s="21">
        <f t="shared" si="88"/>
        <v>1917.8</v>
      </c>
    </row>
    <row r="260" spans="1:6">
      <c r="A260" s="211" t="s">
        <v>54</v>
      </c>
      <c r="B260" s="201">
        <v>1610120010</v>
      </c>
      <c r="C260" s="211">
        <v>610</v>
      </c>
      <c r="D260" s="212" t="s">
        <v>123</v>
      </c>
      <c r="E260" s="21">
        <f>№6!F203</f>
        <v>1917.7999999999997</v>
      </c>
      <c r="F260" s="21">
        <f>№6!G203</f>
        <v>1917.8</v>
      </c>
    </row>
    <row r="261" spans="1:6" ht="63">
      <c r="A261" s="211" t="s">
        <v>54</v>
      </c>
      <c r="B261" s="201">
        <v>1610200000</v>
      </c>
      <c r="C261" s="211"/>
      <c r="D261" s="212" t="s">
        <v>284</v>
      </c>
      <c r="E261" s="21">
        <f>E262</f>
        <v>264.3</v>
      </c>
      <c r="F261" s="21">
        <f t="shared" ref="F261:F267" si="90">F262</f>
        <v>264.3</v>
      </c>
    </row>
    <row r="262" spans="1:6" ht="31.5">
      <c r="A262" s="211" t="s">
        <v>54</v>
      </c>
      <c r="B262" s="201">
        <v>1610220030</v>
      </c>
      <c r="C262" s="211"/>
      <c r="D262" s="212" t="s">
        <v>280</v>
      </c>
      <c r="E262" s="21">
        <f>E263</f>
        <v>264.3</v>
      </c>
      <c r="F262" s="21">
        <f t="shared" si="90"/>
        <v>264.3</v>
      </c>
    </row>
    <row r="263" spans="1:6" ht="31.5">
      <c r="A263" s="211" t="s">
        <v>54</v>
      </c>
      <c r="B263" s="201">
        <v>1610220030</v>
      </c>
      <c r="C263" s="201" t="s">
        <v>109</v>
      </c>
      <c r="D263" s="212" t="s">
        <v>110</v>
      </c>
      <c r="E263" s="21">
        <f>E264</f>
        <v>264.3</v>
      </c>
      <c r="F263" s="21">
        <f t="shared" si="90"/>
        <v>264.3</v>
      </c>
    </row>
    <row r="264" spans="1:6">
      <c r="A264" s="211" t="s">
        <v>54</v>
      </c>
      <c r="B264" s="201">
        <v>1610220030</v>
      </c>
      <c r="C264" s="211">
        <v>610</v>
      </c>
      <c r="D264" s="212" t="s">
        <v>123</v>
      </c>
      <c r="E264" s="21">
        <f>№6!F207</f>
        <v>264.3</v>
      </c>
      <c r="F264" s="21">
        <f>№6!G207</f>
        <v>264.3</v>
      </c>
    </row>
    <row r="265" spans="1:6" ht="31.5">
      <c r="A265" s="211" t="s">
        <v>54</v>
      </c>
      <c r="B265" s="201">
        <v>1610300000</v>
      </c>
      <c r="C265" s="211"/>
      <c r="D265" s="212" t="s">
        <v>285</v>
      </c>
      <c r="E265" s="21">
        <f>E266</f>
        <v>1260.6000000000001</v>
      </c>
      <c r="F265" s="21">
        <f t="shared" ref="F265" si="91">F266</f>
        <v>1260.5999999999999</v>
      </c>
    </row>
    <row r="266" spans="1:6">
      <c r="A266" s="211" t="s">
        <v>54</v>
      </c>
      <c r="B266" s="201">
        <v>1610320200</v>
      </c>
      <c r="C266" s="211"/>
      <c r="D266" s="212" t="s">
        <v>176</v>
      </c>
      <c r="E266" s="21">
        <f>E267</f>
        <v>1260.6000000000001</v>
      </c>
      <c r="F266" s="21">
        <f t="shared" si="90"/>
        <v>1260.5999999999999</v>
      </c>
    </row>
    <row r="267" spans="1:6" ht="31.5">
      <c r="A267" s="211" t="s">
        <v>54</v>
      </c>
      <c r="B267" s="201">
        <v>1610320200</v>
      </c>
      <c r="C267" s="201" t="s">
        <v>109</v>
      </c>
      <c r="D267" s="212" t="s">
        <v>110</v>
      </c>
      <c r="E267" s="21">
        <f>E268</f>
        <v>1260.6000000000001</v>
      </c>
      <c r="F267" s="21">
        <f t="shared" si="90"/>
        <v>1260.5999999999999</v>
      </c>
    </row>
    <row r="268" spans="1:6">
      <c r="A268" s="211" t="s">
        <v>54</v>
      </c>
      <c r="B268" s="201">
        <v>1610320200</v>
      </c>
      <c r="C268" s="211">
        <v>610</v>
      </c>
      <c r="D268" s="212" t="s">
        <v>123</v>
      </c>
      <c r="E268" s="21">
        <f>№6!F211</f>
        <v>1260.6000000000001</v>
      </c>
      <c r="F268" s="21">
        <f>№6!G211</f>
        <v>1260.5999999999999</v>
      </c>
    </row>
    <row r="269" spans="1:6" ht="31.5">
      <c r="A269" s="201" t="s">
        <v>54</v>
      </c>
      <c r="B269" s="201">
        <v>1620000000</v>
      </c>
      <c r="C269" s="201"/>
      <c r="D269" s="212" t="s">
        <v>126</v>
      </c>
      <c r="E269" s="21">
        <f t="shared" ref="E269:F272" si="92">E270</f>
        <v>300</v>
      </c>
      <c r="F269" s="21">
        <f t="shared" si="92"/>
        <v>299.5</v>
      </c>
    </row>
    <row r="270" spans="1:6">
      <c r="A270" s="201" t="s">
        <v>54</v>
      </c>
      <c r="B270" s="201">
        <v>1620100000</v>
      </c>
      <c r="C270" s="201"/>
      <c r="D270" s="212" t="s">
        <v>127</v>
      </c>
      <c r="E270" s="21">
        <f t="shared" si="92"/>
        <v>300</v>
      </c>
      <c r="F270" s="21">
        <f t="shared" si="92"/>
        <v>299.5</v>
      </c>
    </row>
    <row r="271" spans="1:6" ht="31.5">
      <c r="A271" s="201" t="s">
        <v>54</v>
      </c>
      <c r="B271" s="201">
        <v>1620120240</v>
      </c>
      <c r="C271" s="201"/>
      <c r="D271" s="212" t="s">
        <v>130</v>
      </c>
      <c r="E271" s="21">
        <f t="shared" si="92"/>
        <v>300</v>
      </c>
      <c r="F271" s="21">
        <f t="shared" si="92"/>
        <v>299.5</v>
      </c>
    </row>
    <row r="272" spans="1:6" ht="31.5">
      <c r="A272" s="201" t="s">
        <v>54</v>
      </c>
      <c r="B272" s="201">
        <v>1620120240</v>
      </c>
      <c r="C272" s="201" t="s">
        <v>75</v>
      </c>
      <c r="D272" s="212" t="s">
        <v>107</v>
      </c>
      <c r="E272" s="21">
        <f t="shared" si="92"/>
        <v>300</v>
      </c>
      <c r="F272" s="21">
        <f t="shared" si="92"/>
        <v>299.5</v>
      </c>
    </row>
    <row r="273" spans="1:6" ht="30" customHeight="1">
      <c r="A273" s="201" t="s">
        <v>54</v>
      </c>
      <c r="B273" s="201">
        <v>1620120240</v>
      </c>
      <c r="C273" s="211">
        <v>240</v>
      </c>
      <c r="D273" s="212" t="s">
        <v>441</v>
      </c>
      <c r="E273" s="21">
        <f>№6!F590</f>
        <v>300</v>
      </c>
      <c r="F273" s="21">
        <f>№6!G590</f>
        <v>299.5</v>
      </c>
    </row>
    <row r="274" spans="1:6" ht="47.25">
      <c r="A274" s="211" t="s">
        <v>54</v>
      </c>
      <c r="B274" s="201">
        <v>1630000000</v>
      </c>
      <c r="C274" s="211"/>
      <c r="D274" s="212" t="s">
        <v>274</v>
      </c>
      <c r="E274" s="21">
        <f>E275</f>
        <v>20.899999999999991</v>
      </c>
      <c r="F274" s="21">
        <f t="shared" ref="F274" si="93">F275</f>
        <v>20.9</v>
      </c>
    </row>
    <row r="275" spans="1:6" ht="47.25">
      <c r="A275" s="211" t="s">
        <v>54</v>
      </c>
      <c r="B275" s="211">
        <v>1630100000</v>
      </c>
      <c r="C275" s="211"/>
      <c r="D275" s="30" t="s">
        <v>275</v>
      </c>
      <c r="E275" s="21">
        <f>E276</f>
        <v>20.899999999999991</v>
      </c>
      <c r="F275" s="21">
        <f t="shared" ref="F275" si="94">F276</f>
        <v>20.9</v>
      </c>
    </row>
    <row r="276" spans="1:6" ht="47.25">
      <c r="A276" s="211" t="s">
        <v>54</v>
      </c>
      <c r="B276" s="211">
        <v>1630120180</v>
      </c>
      <c r="C276" s="211"/>
      <c r="D276" s="30" t="s">
        <v>276</v>
      </c>
      <c r="E276" s="21">
        <f>E277</f>
        <v>20.899999999999991</v>
      </c>
      <c r="F276" s="21">
        <f t="shared" ref="F276:F277" si="95">F277</f>
        <v>20.9</v>
      </c>
    </row>
    <row r="277" spans="1:6" ht="31.5">
      <c r="A277" s="211" t="s">
        <v>54</v>
      </c>
      <c r="B277" s="211">
        <v>1630120180</v>
      </c>
      <c r="C277" s="201" t="s">
        <v>109</v>
      </c>
      <c r="D277" s="212" t="s">
        <v>110</v>
      </c>
      <c r="E277" s="21">
        <f>E278</f>
        <v>20.899999999999991</v>
      </c>
      <c r="F277" s="21">
        <f t="shared" si="95"/>
        <v>20.9</v>
      </c>
    </row>
    <row r="278" spans="1:6">
      <c r="A278" s="211" t="s">
        <v>54</v>
      </c>
      <c r="B278" s="211">
        <v>1630120180</v>
      </c>
      <c r="C278" s="211">
        <v>610</v>
      </c>
      <c r="D278" s="212" t="s">
        <v>123</v>
      </c>
      <c r="E278" s="21">
        <f>№6!F216</f>
        <v>20.899999999999991</v>
      </c>
      <c r="F278" s="21">
        <f>№6!G216</f>
        <v>20.9</v>
      </c>
    </row>
    <row r="279" spans="1:6">
      <c r="A279" s="19" t="s">
        <v>63</v>
      </c>
      <c r="B279" s="19" t="s">
        <v>72</v>
      </c>
      <c r="C279" s="19" t="s">
        <v>72</v>
      </c>
      <c r="D279" s="26" t="s">
        <v>32</v>
      </c>
      <c r="E279" s="366">
        <f>E280+E300+E287</f>
        <v>92919.9</v>
      </c>
      <c r="F279" s="366">
        <f>F280+F300+F287</f>
        <v>41470.700000000004</v>
      </c>
    </row>
    <row r="280" spans="1:6">
      <c r="A280" s="201" t="s">
        <v>7</v>
      </c>
      <c r="B280" s="201" t="s">
        <v>72</v>
      </c>
      <c r="C280" s="201" t="s">
        <v>72</v>
      </c>
      <c r="D280" s="212" t="s">
        <v>8</v>
      </c>
      <c r="E280" s="21">
        <f t="shared" ref="E280:F285" si="96">E281</f>
        <v>1793.7</v>
      </c>
      <c r="F280" s="21">
        <f t="shared" si="96"/>
        <v>1788.9</v>
      </c>
    </row>
    <row r="281" spans="1:6" ht="47.25">
      <c r="A281" s="201" t="s">
        <v>7</v>
      </c>
      <c r="B281" s="201">
        <v>1600000000</v>
      </c>
      <c r="C281" s="201"/>
      <c r="D281" s="212" t="s">
        <v>133</v>
      </c>
      <c r="E281" s="21">
        <f t="shared" si="96"/>
        <v>1793.7</v>
      </c>
      <c r="F281" s="21">
        <f t="shared" si="96"/>
        <v>1788.9</v>
      </c>
    </row>
    <row r="282" spans="1:6" ht="31.5">
      <c r="A282" s="201" t="s">
        <v>7</v>
      </c>
      <c r="B282" s="201">
        <v>1620000000</v>
      </c>
      <c r="C282" s="201"/>
      <c r="D282" s="212" t="s">
        <v>126</v>
      </c>
      <c r="E282" s="21">
        <f t="shared" si="96"/>
        <v>1793.7</v>
      </c>
      <c r="F282" s="21">
        <f t="shared" si="96"/>
        <v>1788.9</v>
      </c>
    </row>
    <row r="283" spans="1:6">
      <c r="A283" s="201" t="s">
        <v>7</v>
      </c>
      <c r="B283" s="201">
        <v>1620100000</v>
      </c>
      <c r="C283" s="201"/>
      <c r="D283" s="212" t="s">
        <v>127</v>
      </c>
      <c r="E283" s="21">
        <f t="shared" si="96"/>
        <v>1793.7</v>
      </c>
      <c r="F283" s="21">
        <f t="shared" si="96"/>
        <v>1788.9</v>
      </c>
    </row>
    <row r="284" spans="1:6" ht="47.25">
      <c r="A284" s="201" t="s">
        <v>7</v>
      </c>
      <c r="B284" s="201">
        <v>1620120230</v>
      </c>
      <c r="C284" s="201"/>
      <c r="D284" s="212" t="s">
        <v>132</v>
      </c>
      <c r="E284" s="21">
        <f t="shared" si="96"/>
        <v>1793.7</v>
      </c>
      <c r="F284" s="21">
        <f t="shared" si="96"/>
        <v>1788.9</v>
      </c>
    </row>
    <row r="285" spans="1:6" ht="31.5">
      <c r="A285" s="201" t="s">
        <v>7</v>
      </c>
      <c r="B285" s="201">
        <v>1620120230</v>
      </c>
      <c r="C285" s="201" t="s">
        <v>75</v>
      </c>
      <c r="D285" s="212" t="s">
        <v>107</v>
      </c>
      <c r="E285" s="21">
        <f t="shared" si="96"/>
        <v>1793.7</v>
      </c>
      <c r="F285" s="21">
        <f t="shared" si="96"/>
        <v>1788.9</v>
      </c>
    </row>
    <row r="286" spans="1:6" ht="31.9" customHeight="1">
      <c r="A286" s="201" t="s">
        <v>7</v>
      </c>
      <c r="B286" s="201">
        <v>1620120230</v>
      </c>
      <c r="C286" s="211">
        <v>240</v>
      </c>
      <c r="D286" s="212" t="s">
        <v>441</v>
      </c>
      <c r="E286" s="21">
        <f>№6!F598</f>
        <v>1793.7</v>
      </c>
      <c r="F286" s="21">
        <f>№6!G598</f>
        <v>1788.9</v>
      </c>
    </row>
    <row r="287" spans="1:6" ht="15" customHeight="1">
      <c r="A287" s="29" t="s">
        <v>327</v>
      </c>
      <c r="B287" s="211"/>
      <c r="C287" s="211"/>
      <c r="D287" s="367" t="s">
        <v>328</v>
      </c>
      <c r="E287" s="28">
        <f>E288</f>
        <v>6128.8000000000011</v>
      </c>
      <c r="F287" s="28">
        <f t="shared" ref="F287:F289" si="97">F288</f>
        <v>5625</v>
      </c>
    </row>
    <row r="288" spans="1:6" ht="47.25">
      <c r="A288" s="29" t="s">
        <v>327</v>
      </c>
      <c r="B288" s="201">
        <v>1400000000</v>
      </c>
      <c r="C288" s="211"/>
      <c r="D288" s="212" t="s">
        <v>239</v>
      </c>
      <c r="E288" s="28">
        <f>E289</f>
        <v>6128.8000000000011</v>
      </c>
      <c r="F288" s="28">
        <f t="shared" si="97"/>
        <v>5625</v>
      </c>
    </row>
    <row r="289" spans="1:6" ht="15.75" customHeight="1">
      <c r="A289" s="29" t="s">
        <v>327</v>
      </c>
      <c r="B289" s="201">
        <v>1430000000</v>
      </c>
      <c r="C289" s="211"/>
      <c r="D289" s="9" t="s">
        <v>329</v>
      </c>
      <c r="E289" s="28">
        <f>E290</f>
        <v>6128.8000000000011</v>
      </c>
      <c r="F289" s="28">
        <f t="shared" si="97"/>
        <v>5625</v>
      </c>
    </row>
    <row r="290" spans="1:6" ht="31.9" customHeight="1">
      <c r="A290" s="29" t="s">
        <v>327</v>
      </c>
      <c r="B290" s="211">
        <v>1430300000</v>
      </c>
      <c r="C290" s="211"/>
      <c r="D290" s="9" t="s">
        <v>330</v>
      </c>
      <c r="E290" s="28">
        <f>E297+E291+E294</f>
        <v>6128.8000000000011</v>
      </c>
      <c r="F290" s="28">
        <f t="shared" ref="F290" si="98">F297+F291+F294</f>
        <v>5625</v>
      </c>
    </row>
    <row r="291" spans="1:6" ht="31.9" customHeight="1">
      <c r="A291" s="29" t="s">
        <v>327</v>
      </c>
      <c r="B291" s="211">
        <v>1430310100</v>
      </c>
      <c r="C291" s="211"/>
      <c r="D291" s="368" t="s">
        <v>369</v>
      </c>
      <c r="E291" s="28">
        <f>E292</f>
        <v>4898.6000000000004</v>
      </c>
      <c r="F291" s="28">
        <f t="shared" ref="F291:F292" si="99">F292</f>
        <v>4495.5</v>
      </c>
    </row>
    <row r="292" spans="1:6" ht="31.9" customHeight="1">
      <c r="A292" s="29" t="s">
        <v>327</v>
      </c>
      <c r="B292" s="211">
        <v>1430310100</v>
      </c>
      <c r="C292" s="201" t="s">
        <v>78</v>
      </c>
      <c r="D292" s="212" t="s">
        <v>108</v>
      </c>
      <c r="E292" s="28">
        <f>E293</f>
        <v>4898.6000000000004</v>
      </c>
      <c r="F292" s="28">
        <f t="shared" si="99"/>
        <v>4495.5</v>
      </c>
    </row>
    <row r="293" spans="1:6" ht="17.25" customHeight="1">
      <c r="A293" s="29" t="s">
        <v>327</v>
      </c>
      <c r="B293" s="211">
        <v>1430310100</v>
      </c>
      <c r="C293" s="201" t="s">
        <v>140</v>
      </c>
      <c r="D293" s="212" t="s">
        <v>141</v>
      </c>
      <c r="E293" s="28">
        <f>№6!F224</f>
        <v>4898.6000000000004</v>
      </c>
      <c r="F293" s="28">
        <f>№6!G224</f>
        <v>4495.5</v>
      </c>
    </row>
    <row r="294" spans="1:6" ht="17.25" customHeight="1">
      <c r="A294" s="29" t="s">
        <v>327</v>
      </c>
      <c r="B294" s="211">
        <v>1430320100</v>
      </c>
      <c r="C294" s="211"/>
      <c r="D294" s="212" t="s">
        <v>447</v>
      </c>
      <c r="E294" s="28">
        <f>E295</f>
        <v>5.6</v>
      </c>
      <c r="F294" s="28">
        <f t="shared" ref="F294:F295" si="100">F295</f>
        <v>5.6</v>
      </c>
    </row>
    <row r="295" spans="1:6" ht="31.9" customHeight="1">
      <c r="A295" s="29" t="s">
        <v>327</v>
      </c>
      <c r="B295" s="211">
        <v>1430320100</v>
      </c>
      <c r="C295" s="201" t="s">
        <v>78</v>
      </c>
      <c r="D295" s="212" t="s">
        <v>108</v>
      </c>
      <c r="E295" s="28">
        <f>E296</f>
        <v>5.6</v>
      </c>
      <c r="F295" s="28">
        <f t="shared" si="100"/>
        <v>5.6</v>
      </c>
    </row>
    <row r="296" spans="1:6" ht="17.25" customHeight="1">
      <c r="A296" s="29" t="s">
        <v>327</v>
      </c>
      <c r="B296" s="211">
        <v>1430320100</v>
      </c>
      <c r="C296" s="201" t="s">
        <v>140</v>
      </c>
      <c r="D296" s="212" t="s">
        <v>141</v>
      </c>
      <c r="E296" s="28">
        <f>№6!F227</f>
        <v>5.6</v>
      </c>
      <c r="F296" s="28">
        <f>№6!G227</f>
        <v>5.6</v>
      </c>
    </row>
    <row r="297" spans="1:6" ht="14.25" customHeight="1">
      <c r="A297" s="29" t="s">
        <v>327</v>
      </c>
      <c r="B297" s="211" t="s">
        <v>331</v>
      </c>
      <c r="C297" s="211"/>
      <c r="D297" s="368" t="s">
        <v>335</v>
      </c>
      <c r="E297" s="28">
        <f>E298</f>
        <v>1224.6000000000001</v>
      </c>
      <c r="F297" s="28">
        <f t="shared" ref="F297" si="101">F298</f>
        <v>1123.9000000000001</v>
      </c>
    </row>
    <row r="298" spans="1:6" ht="31.9" customHeight="1">
      <c r="A298" s="29" t="s">
        <v>327</v>
      </c>
      <c r="B298" s="211" t="s">
        <v>331</v>
      </c>
      <c r="C298" s="201" t="s">
        <v>78</v>
      </c>
      <c r="D298" s="212" t="s">
        <v>108</v>
      </c>
      <c r="E298" s="28">
        <f>E299</f>
        <v>1224.6000000000001</v>
      </c>
      <c r="F298" s="28">
        <f t="shared" ref="F298" si="102">F299</f>
        <v>1123.9000000000001</v>
      </c>
    </row>
    <row r="299" spans="1:6" ht="21.6" customHeight="1">
      <c r="A299" s="29" t="s">
        <v>327</v>
      </c>
      <c r="B299" s="211" t="s">
        <v>331</v>
      </c>
      <c r="C299" s="201" t="s">
        <v>140</v>
      </c>
      <c r="D299" s="212" t="s">
        <v>141</v>
      </c>
      <c r="E299" s="28">
        <f>№6!F230</f>
        <v>1224.6000000000001</v>
      </c>
      <c r="F299" s="28">
        <f>№6!G230</f>
        <v>1123.9000000000001</v>
      </c>
    </row>
    <row r="300" spans="1:6">
      <c r="A300" s="211" t="s">
        <v>55</v>
      </c>
      <c r="B300" s="211" t="s">
        <v>72</v>
      </c>
      <c r="C300" s="211" t="s">
        <v>72</v>
      </c>
      <c r="D300" s="30" t="s">
        <v>33</v>
      </c>
      <c r="E300" s="21">
        <f>E301</f>
        <v>84997.4</v>
      </c>
      <c r="F300" s="21">
        <f t="shared" ref="F300" si="103">F301</f>
        <v>34056.800000000003</v>
      </c>
    </row>
    <row r="301" spans="1:6" ht="33.75" customHeight="1">
      <c r="A301" s="211" t="s">
        <v>55</v>
      </c>
      <c r="B301" s="201">
        <v>1300000000</v>
      </c>
      <c r="C301" s="211"/>
      <c r="D301" s="30" t="s">
        <v>237</v>
      </c>
      <c r="E301" s="21">
        <f>E302+E320+E347</f>
        <v>84997.4</v>
      </c>
      <c r="F301" s="21">
        <f>F302+F320+F347</f>
        <v>34056.800000000003</v>
      </c>
    </row>
    <row r="302" spans="1:6" ht="47.25">
      <c r="A302" s="211" t="s">
        <v>55</v>
      </c>
      <c r="B302" s="201">
        <v>1310000000</v>
      </c>
      <c r="C302" s="211"/>
      <c r="D302" s="30" t="s">
        <v>287</v>
      </c>
      <c r="E302" s="28">
        <f>E303+E310</f>
        <v>66119.399999999994</v>
      </c>
      <c r="F302" s="28">
        <f t="shared" ref="F302" si="104">F303+F310</f>
        <v>15493.2</v>
      </c>
    </row>
    <row r="303" spans="1:6" ht="31.5">
      <c r="A303" s="211" t="s">
        <v>55</v>
      </c>
      <c r="B303" s="201">
        <v>1310100000</v>
      </c>
      <c r="C303" s="30"/>
      <c r="D303" s="30" t="s">
        <v>151</v>
      </c>
      <c r="E303" s="28">
        <f>E307+E304</f>
        <v>7414.5</v>
      </c>
      <c r="F303" s="28">
        <f t="shared" ref="F303" si="105">F307+F304</f>
        <v>7114.5</v>
      </c>
    </row>
    <row r="304" spans="1:6">
      <c r="A304" s="211" t="s">
        <v>55</v>
      </c>
      <c r="B304" s="211">
        <v>1310120100</v>
      </c>
      <c r="C304" s="211"/>
      <c r="D304" s="369" t="s">
        <v>356</v>
      </c>
      <c r="E304" s="28">
        <f>E305</f>
        <v>223.70000000000002</v>
      </c>
      <c r="F304" s="28">
        <f t="shared" ref="F304:F305" si="106">F305</f>
        <v>67.900000000000006</v>
      </c>
    </row>
    <row r="305" spans="1:6" ht="31.5">
      <c r="A305" s="211" t="s">
        <v>55</v>
      </c>
      <c r="B305" s="211">
        <v>1310120100</v>
      </c>
      <c r="C305" s="201" t="s">
        <v>75</v>
      </c>
      <c r="D305" s="212" t="s">
        <v>107</v>
      </c>
      <c r="E305" s="28">
        <f>E306</f>
        <v>223.70000000000002</v>
      </c>
      <c r="F305" s="28">
        <f t="shared" si="106"/>
        <v>67.900000000000006</v>
      </c>
    </row>
    <row r="306" spans="1:6" ht="34.15" customHeight="1">
      <c r="A306" s="211" t="s">
        <v>55</v>
      </c>
      <c r="B306" s="211">
        <v>1310120100</v>
      </c>
      <c r="C306" s="211">
        <v>240</v>
      </c>
      <c r="D306" s="212" t="s">
        <v>441</v>
      </c>
      <c r="E306" s="28">
        <f>№6!F237</f>
        <v>223.70000000000002</v>
      </c>
      <c r="F306" s="28">
        <f>№6!G237</f>
        <v>67.900000000000006</v>
      </c>
    </row>
    <row r="307" spans="1:6" ht="18.75" customHeight="1">
      <c r="A307" s="211" t="s">
        <v>55</v>
      </c>
      <c r="B307" s="211" t="s">
        <v>152</v>
      </c>
      <c r="C307" s="211"/>
      <c r="D307" s="9" t="s">
        <v>337</v>
      </c>
      <c r="E307" s="28">
        <f>E308</f>
        <v>7190.8</v>
      </c>
      <c r="F307" s="28">
        <f t="shared" ref="F307:F308" si="107">F308</f>
        <v>7046.6</v>
      </c>
    </row>
    <row r="308" spans="1:6" ht="31.5">
      <c r="A308" s="211" t="s">
        <v>55</v>
      </c>
      <c r="B308" s="211" t="s">
        <v>152</v>
      </c>
      <c r="C308" s="201" t="s">
        <v>75</v>
      </c>
      <c r="D308" s="212" t="s">
        <v>107</v>
      </c>
      <c r="E308" s="28">
        <f>E309</f>
        <v>7190.8</v>
      </c>
      <c r="F308" s="28">
        <f t="shared" si="107"/>
        <v>7046.6</v>
      </c>
    </row>
    <row r="309" spans="1:6" ht="33" customHeight="1">
      <c r="A309" s="211" t="s">
        <v>55</v>
      </c>
      <c r="B309" s="211" t="s">
        <v>152</v>
      </c>
      <c r="C309" s="211">
        <v>240</v>
      </c>
      <c r="D309" s="212" t="s">
        <v>441</v>
      </c>
      <c r="E309" s="28">
        <f>№6!F240</f>
        <v>7190.8</v>
      </c>
      <c r="F309" s="28">
        <f>№6!G240</f>
        <v>7046.6</v>
      </c>
    </row>
    <row r="310" spans="1:6" ht="33.75" customHeight="1">
      <c r="A310" s="211" t="s">
        <v>55</v>
      </c>
      <c r="B310" s="201">
        <v>1310200000</v>
      </c>
      <c r="C310" s="211"/>
      <c r="D310" s="30" t="s">
        <v>153</v>
      </c>
      <c r="E310" s="28">
        <f>E314+E311+E317</f>
        <v>58704.9</v>
      </c>
      <c r="F310" s="28">
        <f t="shared" ref="F310" si="108">F314+F311+F317</f>
        <v>8378.7000000000007</v>
      </c>
    </row>
    <row r="311" spans="1:6" ht="22.15" customHeight="1">
      <c r="A311" s="211" t="s">
        <v>55</v>
      </c>
      <c r="B311" s="211">
        <v>1310220100</v>
      </c>
      <c r="C311" s="211"/>
      <c r="D311" s="12" t="s">
        <v>356</v>
      </c>
      <c r="E311" s="28">
        <f>E312</f>
        <v>112.70000000000002</v>
      </c>
      <c r="F311" s="28">
        <f t="shared" ref="F311:F312" si="109">F312</f>
        <v>0</v>
      </c>
    </row>
    <row r="312" spans="1:6" ht="33.75" customHeight="1">
      <c r="A312" s="211" t="s">
        <v>55</v>
      </c>
      <c r="B312" s="211">
        <v>1310220100</v>
      </c>
      <c r="C312" s="201" t="s">
        <v>75</v>
      </c>
      <c r="D312" s="212" t="s">
        <v>107</v>
      </c>
      <c r="E312" s="28">
        <f>E313</f>
        <v>112.70000000000002</v>
      </c>
      <c r="F312" s="28">
        <f t="shared" si="109"/>
        <v>0</v>
      </c>
    </row>
    <row r="313" spans="1:6" ht="34.15" customHeight="1">
      <c r="A313" s="211" t="s">
        <v>55</v>
      </c>
      <c r="B313" s="211">
        <v>1310220100</v>
      </c>
      <c r="C313" s="211">
        <v>240</v>
      </c>
      <c r="D313" s="212" t="s">
        <v>441</v>
      </c>
      <c r="E313" s="28">
        <f>№6!F244</f>
        <v>112.70000000000002</v>
      </c>
      <c r="F313" s="28">
        <f>№6!G244</f>
        <v>0</v>
      </c>
    </row>
    <row r="314" spans="1:6" ht="21.6" customHeight="1">
      <c r="A314" s="211" t="s">
        <v>55</v>
      </c>
      <c r="B314" s="211" t="s">
        <v>154</v>
      </c>
      <c r="C314" s="211"/>
      <c r="D314" s="9" t="s">
        <v>337</v>
      </c>
      <c r="E314" s="28">
        <f>E315</f>
        <v>8592.2000000000007</v>
      </c>
      <c r="F314" s="28">
        <f t="shared" ref="F314:F315" si="110">F315</f>
        <v>8378.7000000000007</v>
      </c>
    </row>
    <row r="315" spans="1:6" ht="31.5">
      <c r="A315" s="211" t="s">
        <v>55</v>
      </c>
      <c r="B315" s="211" t="s">
        <v>154</v>
      </c>
      <c r="C315" s="201" t="s">
        <v>75</v>
      </c>
      <c r="D315" s="212" t="s">
        <v>107</v>
      </c>
      <c r="E315" s="28">
        <f>E316</f>
        <v>8592.2000000000007</v>
      </c>
      <c r="F315" s="28">
        <f t="shared" si="110"/>
        <v>8378.7000000000007</v>
      </c>
    </row>
    <row r="316" spans="1:6" ht="31.9" customHeight="1">
      <c r="A316" s="211" t="s">
        <v>55</v>
      </c>
      <c r="B316" s="211" t="s">
        <v>154</v>
      </c>
      <c r="C316" s="211">
        <v>240</v>
      </c>
      <c r="D316" s="212" t="s">
        <v>441</v>
      </c>
      <c r="E316" s="28">
        <f>№6!F247</f>
        <v>8592.2000000000007</v>
      </c>
      <c r="F316" s="28">
        <f>№6!G247</f>
        <v>8378.7000000000007</v>
      </c>
    </row>
    <row r="317" spans="1:6" ht="63">
      <c r="A317" s="211" t="s">
        <v>55</v>
      </c>
      <c r="B317" s="211" t="s">
        <v>445</v>
      </c>
      <c r="C317" s="211"/>
      <c r="D317" s="212" t="s">
        <v>446</v>
      </c>
      <c r="E317" s="28">
        <f>E318</f>
        <v>50000</v>
      </c>
      <c r="F317" s="28">
        <f t="shared" ref="F317:F318" si="111">F318</f>
        <v>0</v>
      </c>
    </row>
    <row r="318" spans="1:6" ht="31.5">
      <c r="A318" s="211" t="s">
        <v>55</v>
      </c>
      <c r="B318" s="201" t="s">
        <v>445</v>
      </c>
      <c r="C318" s="201" t="s">
        <v>75</v>
      </c>
      <c r="D318" s="212" t="s">
        <v>107</v>
      </c>
      <c r="E318" s="28">
        <f>E319</f>
        <v>50000</v>
      </c>
      <c r="F318" s="28">
        <f t="shared" si="111"/>
        <v>0</v>
      </c>
    </row>
    <row r="319" spans="1:6" ht="31.5">
      <c r="A319" s="211" t="s">
        <v>55</v>
      </c>
      <c r="B319" s="211" t="s">
        <v>445</v>
      </c>
      <c r="C319" s="211">
        <v>240</v>
      </c>
      <c r="D319" s="212" t="s">
        <v>441</v>
      </c>
      <c r="E319" s="28">
        <f>№6!F250</f>
        <v>50000</v>
      </c>
      <c r="F319" s="28">
        <f>№6!G250</f>
        <v>0</v>
      </c>
    </row>
    <row r="320" spans="1:6" ht="22.9" customHeight="1">
      <c r="A320" s="211" t="s">
        <v>55</v>
      </c>
      <c r="B320" s="201">
        <v>1320000000</v>
      </c>
      <c r="C320" s="211"/>
      <c r="D320" s="30" t="s">
        <v>244</v>
      </c>
      <c r="E320" s="28">
        <f>E321+E331</f>
        <v>18612.199999999997</v>
      </c>
      <c r="F320" s="28">
        <f t="shared" ref="F320" si="112">F321+F331</f>
        <v>18297.8</v>
      </c>
    </row>
    <row r="321" spans="1:6" ht="31.5">
      <c r="A321" s="211" t="s">
        <v>55</v>
      </c>
      <c r="B321" s="201">
        <v>1320100000</v>
      </c>
      <c r="C321" s="211"/>
      <c r="D321" s="212" t="s">
        <v>245</v>
      </c>
      <c r="E321" s="28">
        <f>E328+E322+E325</f>
        <v>2712.6</v>
      </c>
      <c r="F321" s="28">
        <f t="shared" ref="F321" si="113">F328+F322+F325</f>
        <v>2548.7000000000003</v>
      </c>
    </row>
    <row r="322" spans="1:6" ht="31.5">
      <c r="A322" s="211" t="s">
        <v>55</v>
      </c>
      <c r="B322" s="211">
        <v>1320110430</v>
      </c>
      <c r="C322" s="211"/>
      <c r="D322" s="212" t="s">
        <v>344</v>
      </c>
      <c r="E322" s="28">
        <f>E323</f>
        <v>1162</v>
      </c>
      <c r="F322" s="28">
        <f t="shared" ref="F322:F323" si="114">F323</f>
        <v>998.1</v>
      </c>
    </row>
    <row r="323" spans="1:6" ht="31.5">
      <c r="A323" s="211" t="s">
        <v>55</v>
      </c>
      <c r="B323" s="211">
        <v>1320110430</v>
      </c>
      <c r="C323" s="201" t="s">
        <v>75</v>
      </c>
      <c r="D323" s="212" t="s">
        <v>107</v>
      </c>
      <c r="E323" s="28">
        <f>E324</f>
        <v>1162</v>
      </c>
      <c r="F323" s="28">
        <f t="shared" si="114"/>
        <v>998.1</v>
      </c>
    </row>
    <row r="324" spans="1:6" ht="36.6" customHeight="1">
      <c r="A324" s="211" t="s">
        <v>55</v>
      </c>
      <c r="B324" s="211">
        <v>1320110430</v>
      </c>
      <c r="C324" s="211">
        <v>240</v>
      </c>
      <c r="D324" s="212" t="s">
        <v>441</v>
      </c>
      <c r="E324" s="28">
        <f>№6!F254</f>
        <v>1162</v>
      </c>
      <c r="F324" s="28">
        <f>№6!G254</f>
        <v>998.1</v>
      </c>
    </row>
    <row r="325" spans="1:6">
      <c r="A325" s="211" t="s">
        <v>55</v>
      </c>
      <c r="B325" s="211">
        <v>1320120100</v>
      </c>
      <c r="C325" s="211"/>
      <c r="D325" s="212" t="s">
        <v>356</v>
      </c>
      <c r="E325" s="28">
        <f>E326</f>
        <v>53.400000000000006</v>
      </c>
      <c r="F325" s="28">
        <f t="shared" ref="F325:F326" si="115">F326</f>
        <v>53.4</v>
      </c>
    </row>
    <row r="326" spans="1:6" ht="33" customHeight="1">
      <c r="A326" s="211" t="s">
        <v>55</v>
      </c>
      <c r="B326" s="211">
        <v>1320120100</v>
      </c>
      <c r="C326" s="201" t="s">
        <v>75</v>
      </c>
      <c r="D326" s="212" t="s">
        <v>107</v>
      </c>
      <c r="E326" s="28">
        <f>E327</f>
        <v>53.400000000000006</v>
      </c>
      <c r="F326" s="28">
        <f t="shared" si="115"/>
        <v>53.4</v>
      </c>
    </row>
    <row r="327" spans="1:6" ht="36.6" customHeight="1">
      <c r="A327" s="211" t="s">
        <v>55</v>
      </c>
      <c r="B327" s="211">
        <v>1320120100</v>
      </c>
      <c r="C327" s="211">
        <v>240</v>
      </c>
      <c r="D327" s="212" t="s">
        <v>441</v>
      </c>
      <c r="E327" s="28">
        <f>№6!F258</f>
        <v>53.400000000000006</v>
      </c>
      <c r="F327" s="28">
        <f>№6!G258</f>
        <v>53.4</v>
      </c>
    </row>
    <row r="328" spans="1:6" ht="31.5">
      <c r="A328" s="211" t="s">
        <v>55</v>
      </c>
      <c r="B328" s="211" t="s">
        <v>155</v>
      </c>
      <c r="C328" s="211"/>
      <c r="D328" s="370" t="s">
        <v>311</v>
      </c>
      <c r="E328" s="28">
        <f>E329</f>
        <v>1497.2</v>
      </c>
      <c r="F328" s="28">
        <f t="shared" ref="F328:F329" si="116">F329</f>
        <v>1497.2</v>
      </c>
    </row>
    <row r="329" spans="1:6" ht="31.5">
      <c r="A329" s="211" t="s">
        <v>55</v>
      </c>
      <c r="B329" s="211" t="s">
        <v>155</v>
      </c>
      <c r="C329" s="201" t="s">
        <v>75</v>
      </c>
      <c r="D329" s="212" t="s">
        <v>107</v>
      </c>
      <c r="E329" s="21">
        <f>E330</f>
        <v>1497.2</v>
      </c>
      <c r="F329" s="21">
        <f t="shared" si="116"/>
        <v>1497.2</v>
      </c>
    </row>
    <row r="330" spans="1:6" ht="33.6" customHeight="1">
      <c r="A330" s="211" t="s">
        <v>55</v>
      </c>
      <c r="B330" s="211" t="s">
        <v>155</v>
      </c>
      <c r="C330" s="211">
        <v>240</v>
      </c>
      <c r="D330" s="212" t="s">
        <v>441</v>
      </c>
      <c r="E330" s="21">
        <f>№6!F261</f>
        <v>1497.2</v>
      </c>
      <c r="F330" s="21">
        <f>№6!G261</f>
        <v>1497.2</v>
      </c>
    </row>
    <row r="331" spans="1:6">
      <c r="A331" s="211" t="s">
        <v>55</v>
      </c>
      <c r="B331" s="201">
        <v>1320200000</v>
      </c>
      <c r="C331" s="211"/>
      <c r="D331" s="212" t="s">
        <v>156</v>
      </c>
      <c r="E331" s="21">
        <f>E332+E335+E338+E341+E344</f>
        <v>15899.599999999999</v>
      </c>
      <c r="F331" s="21">
        <f>F332+F335+F338+F341+F344</f>
        <v>15749.099999999999</v>
      </c>
    </row>
    <row r="332" spans="1:6">
      <c r="A332" s="211" t="s">
        <v>55</v>
      </c>
      <c r="B332" s="211">
        <v>1320220050</v>
      </c>
      <c r="C332" s="211"/>
      <c r="D332" s="212" t="s">
        <v>157</v>
      </c>
      <c r="E332" s="21">
        <f>E333</f>
        <v>13404</v>
      </c>
      <c r="F332" s="21">
        <f t="shared" ref="F332:F333" si="117">F333</f>
        <v>13404</v>
      </c>
    </row>
    <row r="333" spans="1:6" ht="31.5">
      <c r="A333" s="211" t="s">
        <v>55</v>
      </c>
      <c r="B333" s="211">
        <v>1320220050</v>
      </c>
      <c r="C333" s="201" t="s">
        <v>75</v>
      </c>
      <c r="D333" s="212" t="s">
        <v>107</v>
      </c>
      <c r="E333" s="21">
        <f>E334</f>
        <v>13404</v>
      </c>
      <c r="F333" s="21">
        <f t="shared" si="117"/>
        <v>13404</v>
      </c>
    </row>
    <row r="334" spans="1:6" ht="31.9" customHeight="1">
      <c r="A334" s="211" t="s">
        <v>55</v>
      </c>
      <c r="B334" s="211">
        <v>1320220050</v>
      </c>
      <c r="C334" s="211">
        <v>240</v>
      </c>
      <c r="D334" s="212" t="s">
        <v>441</v>
      </c>
      <c r="E334" s="21">
        <f>№6!F265</f>
        <v>13404</v>
      </c>
      <c r="F334" s="21">
        <f>№6!G265</f>
        <v>13404</v>
      </c>
    </row>
    <row r="335" spans="1:6" ht="20.45" customHeight="1">
      <c r="A335" s="211" t="s">
        <v>55</v>
      </c>
      <c r="B335" s="211">
        <v>1320220060</v>
      </c>
      <c r="C335" s="211"/>
      <c r="D335" s="212" t="s">
        <v>158</v>
      </c>
      <c r="E335" s="21">
        <f>E336</f>
        <v>193</v>
      </c>
      <c r="F335" s="21">
        <f t="shared" ref="F335:F336" si="118">F336</f>
        <v>43.3</v>
      </c>
    </row>
    <row r="336" spans="1:6" ht="31.5">
      <c r="A336" s="211" t="s">
        <v>55</v>
      </c>
      <c r="B336" s="211">
        <v>1320220060</v>
      </c>
      <c r="C336" s="201" t="s">
        <v>75</v>
      </c>
      <c r="D336" s="212" t="s">
        <v>107</v>
      </c>
      <c r="E336" s="21">
        <f>E337</f>
        <v>193</v>
      </c>
      <c r="F336" s="21">
        <f t="shared" si="118"/>
        <v>43.3</v>
      </c>
    </row>
    <row r="337" spans="1:6" ht="34.9" customHeight="1">
      <c r="A337" s="211" t="s">
        <v>55</v>
      </c>
      <c r="B337" s="211">
        <v>1320220060</v>
      </c>
      <c r="C337" s="211">
        <v>240</v>
      </c>
      <c r="D337" s="212" t="s">
        <v>441</v>
      </c>
      <c r="E337" s="21">
        <f>№6!F268</f>
        <v>193</v>
      </c>
      <c r="F337" s="21">
        <f>№6!G268</f>
        <v>43.3</v>
      </c>
    </row>
    <row r="338" spans="1:6">
      <c r="A338" s="211" t="s">
        <v>55</v>
      </c>
      <c r="B338" s="211">
        <v>1320220070</v>
      </c>
      <c r="C338" s="211"/>
      <c r="D338" s="212" t="s">
        <v>159</v>
      </c>
      <c r="E338" s="21">
        <f>E339</f>
        <v>2113.9</v>
      </c>
      <c r="F338" s="21">
        <f t="shared" ref="F338:F339" si="119">F339</f>
        <v>2113.9</v>
      </c>
    </row>
    <row r="339" spans="1:6" ht="31.5">
      <c r="A339" s="211" t="s">
        <v>55</v>
      </c>
      <c r="B339" s="211">
        <v>1320220070</v>
      </c>
      <c r="C339" s="201" t="s">
        <v>75</v>
      </c>
      <c r="D339" s="212" t="s">
        <v>107</v>
      </c>
      <c r="E339" s="21">
        <f>E340</f>
        <v>2113.9</v>
      </c>
      <c r="F339" s="21">
        <f t="shared" si="119"/>
        <v>2113.9</v>
      </c>
    </row>
    <row r="340" spans="1:6" ht="33" customHeight="1">
      <c r="A340" s="211" t="s">
        <v>55</v>
      </c>
      <c r="B340" s="211">
        <v>1320220070</v>
      </c>
      <c r="C340" s="211">
        <v>240</v>
      </c>
      <c r="D340" s="212" t="s">
        <v>441</v>
      </c>
      <c r="E340" s="21">
        <f>№6!F271</f>
        <v>2113.9</v>
      </c>
      <c r="F340" s="21">
        <f>№6!G271</f>
        <v>2113.9</v>
      </c>
    </row>
    <row r="341" spans="1:6">
      <c r="A341" s="211" t="s">
        <v>55</v>
      </c>
      <c r="B341" s="211">
        <v>1320220080</v>
      </c>
      <c r="C341" s="211"/>
      <c r="D341" s="212" t="s">
        <v>160</v>
      </c>
      <c r="E341" s="21">
        <f>E342</f>
        <v>145.9</v>
      </c>
      <c r="F341" s="21">
        <f t="shared" ref="F341:F342" si="120">F342</f>
        <v>145.9</v>
      </c>
    </row>
    <row r="342" spans="1:6" ht="31.5">
      <c r="A342" s="211" t="s">
        <v>55</v>
      </c>
      <c r="B342" s="211">
        <v>1320220080</v>
      </c>
      <c r="C342" s="201" t="s">
        <v>75</v>
      </c>
      <c r="D342" s="212" t="s">
        <v>107</v>
      </c>
      <c r="E342" s="21">
        <f>E343</f>
        <v>145.9</v>
      </c>
      <c r="F342" s="21">
        <f t="shared" si="120"/>
        <v>145.9</v>
      </c>
    </row>
    <row r="343" spans="1:6" ht="31.9" customHeight="1">
      <c r="A343" s="211" t="s">
        <v>55</v>
      </c>
      <c r="B343" s="211">
        <v>1320220080</v>
      </c>
      <c r="C343" s="211">
        <v>240</v>
      </c>
      <c r="D343" s="212" t="s">
        <v>441</v>
      </c>
      <c r="E343" s="21">
        <f>№6!F274</f>
        <v>145.9</v>
      </c>
      <c r="F343" s="21">
        <f>№6!G274</f>
        <v>145.9</v>
      </c>
    </row>
    <row r="344" spans="1:6" ht="31.9" customHeight="1">
      <c r="A344" s="211" t="s">
        <v>55</v>
      </c>
      <c r="B344" s="211">
        <v>1320220090</v>
      </c>
      <c r="C344" s="211"/>
      <c r="D344" s="212" t="s">
        <v>421</v>
      </c>
      <c r="E344" s="21">
        <f>E345</f>
        <v>42.8</v>
      </c>
      <c r="F344" s="21">
        <f t="shared" ref="F344:F345" si="121">F345</f>
        <v>42</v>
      </c>
    </row>
    <row r="345" spans="1:6" ht="31.9" customHeight="1">
      <c r="A345" s="211" t="s">
        <v>55</v>
      </c>
      <c r="B345" s="211">
        <v>1320220090</v>
      </c>
      <c r="C345" s="201" t="s">
        <v>75</v>
      </c>
      <c r="D345" s="212" t="s">
        <v>107</v>
      </c>
      <c r="E345" s="21">
        <f>E346</f>
        <v>42.8</v>
      </c>
      <c r="F345" s="21">
        <f t="shared" si="121"/>
        <v>42</v>
      </c>
    </row>
    <row r="346" spans="1:6" ht="31.9" customHeight="1">
      <c r="A346" s="211" t="s">
        <v>55</v>
      </c>
      <c r="B346" s="211">
        <v>1320220090</v>
      </c>
      <c r="C346" s="211">
        <v>240</v>
      </c>
      <c r="D346" s="212" t="s">
        <v>441</v>
      </c>
      <c r="E346" s="21">
        <f>№6!F277</f>
        <v>42.8</v>
      </c>
      <c r="F346" s="21">
        <f>№6!G277</f>
        <v>42</v>
      </c>
    </row>
    <row r="347" spans="1:6">
      <c r="A347" s="211" t="s">
        <v>55</v>
      </c>
      <c r="B347" s="201">
        <v>1330000000</v>
      </c>
      <c r="C347" s="211"/>
      <c r="D347" s="212" t="s">
        <v>145</v>
      </c>
      <c r="E347" s="21">
        <f>E348</f>
        <v>265.8</v>
      </c>
      <c r="F347" s="21">
        <f t="shared" ref="F347:F350" si="122">F348</f>
        <v>265.8</v>
      </c>
    </row>
    <row r="348" spans="1:6" ht="47.25">
      <c r="A348" s="211" t="s">
        <v>55</v>
      </c>
      <c r="B348" s="201">
        <v>1330200000</v>
      </c>
      <c r="C348" s="211"/>
      <c r="D348" s="212" t="s">
        <v>246</v>
      </c>
      <c r="E348" s="21">
        <f>E349</f>
        <v>265.8</v>
      </c>
      <c r="F348" s="21">
        <f t="shared" si="122"/>
        <v>265.8</v>
      </c>
    </row>
    <row r="349" spans="1:6">
      <c r="A349" s="211" t="s">
        <v>55</v>
      </c>
      <c r="B349" s="201">
        <v>1330220090</v>
      </c>
      <c r="C349" s="211"/>
      <c r="D349" s="212" t="s">
        <v>161</v>
      </c>
      <c r="E349" s="21">
        <f>E350</f>
        <v>265.8</v>
      </c>
      <c r="F349" s="21">
        <f t="shared" si="122"/>
        <v>265.8</v>
      </c>
    </row>
    <row r="350" spans="1:6" ht="31.5">
      <c r="A350" s="211" t="s">
        <v>55</v>
      </c>
      <c r="B350" s="201">
        <v>1330220090</v>
      </c>
      <c r="C350" s="201" t="s">
        <v>75</v>
      </c>
      <c r="D350" s="212" t="s">
        <v>107</v>
      </c>
      <c r="E350" s="21">
        <f>E351</f>
        <v>265.8</v>
      </c>
      <c r="F350" s="21">
        <f t="shared" si="122"/>
        <v>265.8</v>
      </c>
    </row>
    <row r="351" spans="1:6" ht="34.9" customHeight="1">
      <c r="A351" s="211" t="s">
        <v>55</v>
      </c>
      <c r="B351" s="201">
        <v>1330220090</v>
      </c>
      <c r="C351" s="211">
        <v>240</v>
      </c>
      <c r="D351" s="212" t="s">
        <v>441</v>
      </c>
      <c r="E351" s="21">
        <f>№6!F282</f>
        <v>265.8</v>
      </c>
      <c r="F351" s="21">
        <f>№6!G282</f>
        <v>265.8</v>
      </c>
    </row>
    <row r="352" spans="1:6">
      <c r="A352" s="19" t="s">
        <v>42</v>
      </c>
      <c r="B352" s="19" t="s">
        <v>72</v>
      </c>
      <c r="C352" s="19" t="s">
        <v>72</v>
      </c>
      <c r="D352" s="365" t="s">
        <v>34</v>
      </c>
      <c r="E352" s="366">
        <f>E353+E379+E491+E527+E447+E484</f>
        <v>491811.4</v>
      </c>
      <c r="F352" s="366">
        <f>F353+F379+F491+F527+F447+F484</f>
        <v>491706.60000000009</v>
      </c>
    </row>
    <row r="353" spans="1:6">
      <c r="A353" s="211" t="s">
        <v>56</v>
      </c>
      <c r="B353" s="211" t="s">
        <v>72</v>
      </c>
      <c r="C353" s="211" t="s">
        <v>72</v>
      </c>
      <c r="D353" s="367" t="s">
        <v>14</v>
      </c>
      <c r="E353" s="21">
        <f>E354+E373</f>
        <v>186741.30000000002</v>
      </c>
      <c r="F353" s="21">
        <f>F354+F373</f>
        <v>186741.30000000002</v>
      </c>
    </row>
    <row r="354" spans="1:6" ht="31.5">
      <c r="A354" s="211" t="s">
        <v>56</v>
      </c>
      <c r="B354" s="201">
        <v>1100000000</v>
      </c>
      <c r="C354" s="211"/>
      <c r="D354" s="212" t="s">
        <v>236</v>
      </c>
      <c r="E354" s="21">
        <f>E355</f>
        <v>186087.80000000002</v>
      </c>
      <c r="F354" s="21">
        <f t="shared" ref="F354" si="123">F355</f>
        <v>186087.80000000002</v>
      </c>
    </row>
    <row r="355" spans="1:6">
      <c r="A355" s="211" t="s">
        <v>56</v>
      </c>
      <c r="B355" s="211">
        <v>1110000000</v>
      </c>
      <c r="C355" s="211"/>
      <c r="D355" s="30" t="s">
        <v>214</v>
      </c>
      <c r="E355" s="21">
        <f>E356+E369</f>
        <v>186087.80000000002</v>
      </c>
      <c r="F355" s="21">
        <f t="shared" ref="F355" si="124">F356+F369</f>
        <v>186087.80000000002</v>
      </c>
    </row>
    <row r="356" spans="1:6" ht="47.25">
      <c r="A356" s="211" t="s">
        <v>56</v>
      </c>
      <c r="B356" s="211">
        <v>1110100000</v>
      </c>
      <c r="C356" s="30"/>
      <c r="D356" s="30" t="s">
        <v>215</v>
      </c>
      <c r="E356" s="21">
        <f>E363+E360+E357+E366</f>
        <v>185646.1</v>
      </c>
      <c r="F356" s="21">
        <f t="shared" ref="F356" si="125">F363+F360+F357+F366</f>
        <v>185646.1</v>
      </c>
    </row>
    <row r="357" spans="1:6" ht="47.25">
      <c r="A357" s="3" t="s">
        <v>56</v>
      </c>
      <c r="B357" s="11" t="s">
        <v>348</v>
      </c>
      <c r="C357" s="13"/>
      <c r="D357" s="9" t="s">
        <v>349</v>
      </c>
      <c r="E357" s="21">
        <f>E358</f>
        <v>14968.699999999999</v>
      </c>
      <c r="F357" s="21">
        <f t="shared" ref="F357:F358" si="126">F358</f>
        <v>14968.7</v>
      </c>
    </row>
    <row r="358" spans="1:6" ht="31.5">
      <c r="A358" s="3" t="s">
        <v>56</v>
      </c>
      <c r="B358" s="11" t="s">
        <v>348</v>
      </c>
      <c r="C358" s="201" t="s">
        <v>109</v>
      </c>
      <c r="D358" s="212" t="s">
        <v>110</v>
      </c>
      <c r="E358" s="21">
        <f>E359</f>
        <v>14968.699999999999</v>
      </c>
      <c r="F358" s="21">
        <f t="shared" si="126"/>
        <v>14968.7</v>
      </c>
    </row>
    <row r="359" spans="1:6">
      <c r="A359" s="3" t="s">
        <v>56</v>
      </c>
      <c r="B359" s="11" t="s">
        <v>348</v>
      </c>
      <c r="C359" s="211">
        <v>610</v>
      </c>
      <c r="D359" s="212" t="s">
        <v>123</v>
      </c>
      <c r="E359" s="21">
        <f>№6!F723</f>
        <v>14968.699999999999</v>
      </c>
      <c r="F359" s="21">
        <f>№6!G723</f>
        <v>14968.7</v>
      </c>
    </row>
    <row r="360" spans="1:6" ht="47.25">
      <c r="A360" s="3" t="s">
        <v>56</v>
      </c>
      <c r="B360" s="11" t="s">
        <v>217</v>
      </c>
      <c r="C360" s="13"/>
      <c r="D360" s="9" t="s">
        <v>122</v>
      </c>
      <c r="E360" s="21">
        <f>E361</f>
        <v>97137.3</v>
      </c>
      <c r="F360" s="21">
        <f t="shared" ref="F360:F361" si="127">F361</f>
        <v>97137.3</v>
      </c>
    </row>
    <row r="361" spans="1:6" ht="31.5">
      <c r="A361" s="3" t="s">
        <v>56</v>
      </c>
      <c r="B361" s="11" t="s">
        <v>217</v>
      </c>
      <c r="C361" s="201" t="s">
        <v>109</v>
      </c>
      <c r="D361" s="212" t="s">
        <v>110</v>
      </c>
      <c r="E361" s="21">
        <f>E362</f>
        <v>97137.3</v>
      </c>
      <c r="F361" s="21">
        <f t="shared" si="127"/>
        <v>97137.3</v>
      </c>
    </row>
    <row r="362" spans="1:6">
      <c r="A362" s="3" t="s">
        <v>56</v>
      </c>
      <c r="B362" s="11" t="s">
        <v>217</v>
      </c>
      <c r="C362" s="211">
        <v>610</v>
      </c>
      <c r="D362" s="212" t="s">
        <v>123</v>
      </c>
      <c r="E362" s="21">
        <f>№6!F726</f>
        <v>97137.3</v>
      </c>
      <c r="F362" s="21">
        <f>№6!G726</f>
        <v>97137.3</v>
      </c>
    </row>
    <row r="363" spans="1:6" ht="31.5">
      <c r="A363" s="3" t="s">
        <v>56</v>
      </c>
      <c r="B363" s="11" t="s">
        <v>216</v>
      </c>
      <c r="C363" s="11"/>
      <c r="D363" s="9" t="s">
        <v>144</v>
      </c>
      <c r="E363" s="21">
        <f>E364</f>
        <v>72043.3</v>
      </c>
      <c r="F363" s="21">
        <f t="shared" ref="F363:F364" si="128">F364</f>
        <v>72043.3</v>
      </c>
    </row>
    <row r="364" spans="1:6" ht="31.5">
      <c r="A364" s="3" t="s">
        <v>56</v>
      </c>
      <c r="B364" s="11" t="s">
        <v>216</v>
      </c>
      <c r="C364" s="201" t="s">
        <v>109</v>
      </c>
      <c r="D364" s="212" t="s">
        <v>110</v>
      </c>
      <c r="E364" s="21">
        <f>E365</f>
        <v>72043.3</v>
      </c>
      <c r="F364" s="21">
        <f t="shared" si="128"/>
        <v>72043.3</v>
      </c>
    </row>
    <row r="365" spans="1:6">
      <c r="A365" s="3" t="s">
        <v>56</v>
      </c>
      <c r="B365" s="11" t="s">
        <v>216</v>
      </c>
      <c r="C365" s="211">
        <v>610</v>
      </c>
      <c r="D365" s="212" t="s">
        <v>123</v>
      </c>
      <c r="E365" s="21">
        <f>№6!F729</f>
        <v>72043.3</v>
      </c>
      <c r="F365" s="21">
        <f>№6!G729</f>
        <v>72043.3</v>
      </c>
    </row>
    <row r="366" spans="1:6" ht="47.25">
      <c r="A366" s="3" t="s">
        <v>56</v>
      </c>
      <c r="B366" s="11" t="s">
        <v>351</v>
      </c>
      <c r="C366" s="13"/>
      <c r="D366" s="9" t="s">
        <v>349</v>
      </c>
      <c r="E366" s="21">
        <f>E367</f>
        <v>1496.8</v>
      </c>
      <c r="F366" s="21">
        <f t="shared" ref="F366:F367" si="129">F367</f>
        <v>1496.8</v>
      </c>
    </row>
    <row r="367" spans="1:6" ht="31.5">
      <c r="A367" s="3" t="s">
        <v>56</v>
      </c>
      <c r="B367" s="11" t="s">
        <v>351</v>
      </c>
      <c r="C367" s="201" t="s">
        <v>109</v>
      </c>
      <c r="D367" s="212" t="s">
        <v>110</v>
      </c>
      <c r="E367" s="21">
        <f>E368</f>
        <v>1496.8</v>
      </c>
      <c r="F367" s="21">
        <f t="shared" si="129"/>
        <v>1496.8</v>
      </c>
    </row>
    <row r="368" spans="1:6">
      <c r="A368" s="3" t="s">
        <v>56</v>
      </c>
      <c r="B368" s="11" t="s">
        <v>351</v>
      </c>
      <c r="C368" s="211">
        <v>610</v>
      </c>
      <c r="D368" s="212" t="s">
        <v>123</v>
      </c>
      <c r="E368" s="21">
        <f>№6!F732</f>
        <v>1496.8</v>
      </c>
      <c r="F368" s="21">
        <f>№6!G732</f>
        <v>1496.8</v>
      </c>
    </row>
    <row r="369" spans="1:6" ht="63">
      <c r="A369" s="3" t="s">
        <v>56</v>
      </c>
      <c r="B369" s="211">
        <v>1110500000</v>
      </c>
      <c r="C369" s="211"/>
      <c r="D369" s="212" t="s">
        <v>222</v>
      </c>
      <c r="E369" s="21">
        <f>E370</f>
        <v>441.7</v>
      </c>
      <c r="F369" s="21">
        <f t="shared" ref="F369:F371" si="130">F370</f>
        <v>441.7</v>
      </c>
    </row>
    <row r="370" spans="1:6">
      <c r="A370" s="3" t="s">
        <v>56</v>
      </c>
      <c r="B370" s="11" t="s">
        <v>323</v>
      </c>
      <c r="C370" s="211"/>
      <c r="D370" s="212" t="s">
        <v>324</v>
      </c>
      <c r="E370" s="21">
        <f>E371</f>
        <v>441.7</v>
      </c>
      <c r="F370" s="21">
        <f t="shared" si="130"/>
        <v>441.7</v>
      </c>
    </row>
    <row r="371" spans="1:6" ht="31.5">
      <c r="A371" s="3" t="s">
        <v>56</v>
      </c>
      <c r="B371" s="11" t="s">
        <v>323</v>
      </c>
      <c r="C371" s="201" t="s">
        <v>109</v>
      </c>
      <c r="D371" s="212" t="s">
        <v>110</v>
      </c>
      <c r="E371" s="21">
        <f>E372</f>
        <v>441.7</v>
      </c>
      <c r="F371" s="21">
        <f t="shared" si="130"/>
        <v>441.7</v>
      </c>
    </row>
    <row r="372" spans="1:6">
      <c r="A372" s="3" t="s">
        <v>56</v>
      </c>
      <c r="B372" s="11" t="s">
        <v>323</v>
      </c>
      <c r="C372" s="211">
        <v>610</v>
      </c>
      <c r="D372" s="212" t="s">
        <v>123</v>
      </c>
      <c r="E372" s="21">
        <f>№6!F736</f>
        <v>441.7</v>
      </c>
      <c r="F372" s="21">
        <f>№6!G736</f>
        <v>441.7</v>
      </c>
    </row>
    <row r="373" spans="1:6" ht="31.5">
      <c r="A373" s="3" t="s">
        <v>56</v>
      </c>
      <c r="B373" s="201">
        <v>1500000000</v>
      </c>
      <c r="C373" s="211"/>
      <c r="D373" s="212" t="s">
        <v>232</v>
      </c>
      <c r="E373" s="21">
        <f>E374</f>
        <v>653.5</v>
      </c>
      <c r="F373" s="21">
        <f t="shared" ref="F373:F377" si="131">F374</f>
        <v>653.5</v>
      </c>
    </row>
    <row r="374" spans="1:6" ht="31.5">
      <c r="A374" s="3" t="s">
        <v>56</v>
      </c>
      <c r="B374" s="201">
        <v>1520000000</v>
      </c>
      <c r="C374" s="211"/>
      <c r="D374" s="212" t="s">
        <v>224</v>
      </c>
      <c r="E374" s="21">
        <f>E375</f>
        <v>653.5</v>
      </c>
      <c r="F374" s="21">
        <f t="shared" si="131"/>
        <v>653.5</v>
      </c>
    </row>
    <row r="375" spans="1:6" ht="63">
      <c r="A375" s="3" t="s">
        <v>56</v>
      </c>
      <c r="B375" s="211">
        <v>1520100000</v>
      </c>
      <c r="C375" s="211"/>
      <c r="D375" s="212" t="s">
        <v>297</v>
      </c>
      <c r="E375" s="21">
        <f>E376</f>
        <v>653.5</v>
      </c>
      <c r="F375" s="21">
        <f t="shared" si="131"/>
        <v>653.5</v>
      </c>
    </row>
    <row r="376" spans="1:6" ht="31.5">
      <c r="A376" s="3" t="s">
        <v>56</v>
      </c>
      <c r="B376" s="11" t="s">
        <v>359</v>
      </c>
      <c r="C376" s="211"/>
      <c r="D376" s="212" t="s">
        <v>365</v>
      </c>
      <c r="E376" s="21">
        <f>E377</f>
        <v>653.5</v>
      </c>
      <c r="F376" s="21">
        <f t="shared" si="131"/>
        <v>653.5</v>
      </c>
    </row>
    <row r="377" spans="1:6" ht="31.5">
      <c r="A377" s="3" t="s">
        <v>56</v>
      </c>
      <c r="B377" s="11" t="s">
        <v>359</v>
      </c>
      <c r="C377" s="201" t="s">
        <v>109</v>
      </c>
      <c r="D377" s="212" t="s">
        <v>110</v>
      </c>
      <c r="E377" s="21">
        <f>E378</f>
        <v>653.5</v>
      </c>
      <c r="F377" s="21">
        <f t="shared" si="131"/>
        <v>653.5</v>
      </c>
    </row>
    <row r="378" spans="1:6">
      <c r="A378" s="3" t="s">
        <v>56</v>
      </c>
      <c r="B378" s="11" t="s">
        <v>359</v>
      </c>
      <c r="C378" s="211">
        <v>610</v>
      </c>
      <c r="D378" s="212" t="s">
        <v>123</v>
      </c>
      <c r="E378" s="21">
        <v>653.5</v>
      </c>
      <c r="F378" s="21">
        <v>653.5</v>
      </c>
    </row>
    <row r="379" spans="1:6">
      <c r="A379" s="211" t="s">
        <v>57</v>
      </c>
      <c r="B379" s="211" t="s">
        <v>72</v>
      </c>
      <c r="C379" s="211" t="s">
        <v>72</v>
      </c>
      <c r="D379" s="30" t="s">
        <v>15</v>
      </c>
      <c r="E379" s="21">
        <f>E380+E432+E442</f>
        <v>247075.69999999998</v>
      </c>
      <c r="F379" s="21">
        <f>F380+F432+F442</f>
        <v>246993.30000000002</v>
      </c>
    </row>
    <row r="380" spans="1:6" ht="31.5">
      <c r="A380" s="211" t="s">
        <v>57</v>
      </c>
      <c r="B380" s="201">
        <v>1100000000</v>
      </c>
      <c r="C380" s="211"/>
      <c r="D380" s="212" t="s">
        <v>236</v>
      </c>
      <c r="E380" s="21">
        <f>E381+E419+E424</f>
        <v>246127.39999999997</v>
      </c>
      <c r="F380" s="21">
        <f>F381+F419+F424</f>
        <v>246045.1</v>
      </c>
    </row>
    <row r="381" spans="1:6">
      <c r="A381" s="211" t="s">
        <v>57</v>
      </c>
      <c r="B381" s="211">
        <v>1110000000</v>
      </c>
      <c r="C381" s="211"/>
      <c r="D381" s="30" t="s">
        <v>214</v>
      </c>
      <c r="E381" s="21">
        <f>E382+E395+E402+E412</f>
        <v>242258.89999999997</v>
      </c>
      <c r="F381" s="21">
        <f>F382+F395+F402+F412</f>
        <v>242176.6</v>
      </c>
    </row>
    <row r="382" spans="1:6" ht="47.25">
      <c r="A382" s="211" t="s">
        <v>57</v>
      </c>
      <c r="B382" s="211">
        <v>1110100000</v>
      </c>
      <c r="C382" s="30"/>
      <c r="D382" s="30" t="s">
        <v>215</v>
      </c>
      <c r="E382" s="21">
        <f>E389+E386+E383+E392</f>
        <v>224148.99999999997</v>
      </c>
      <c r="F382" s="21">
        <f t="shared" ref="F382" si="132">F389+F386+F383+F392</f>
        <v>224149</v>
      </c>
    </row>
    <row r="383" spans="1:6" ht="47.25">
      <c r="A383" s="211" t="s">
        <v>57</v>
      </c>
      <c r="B383" s="11" t="s">
        <v>348</v>
      </c>
      <c r="C383" s="13"/>
      <c r="D383" s="9" t="s">
        <v>349</v>
      </c>
      <c r="E383" s="21">
        <f>E384</f>
        <v>2379.4</v>
      </c>
      <c r="F383" s="21">
        <f t="shared" ref="F383:F384" si="133">F384</f>
        <v>2379.4</v>
      </c>
    </row>
    <row r="384" spans="1:6" ht="31.5">
      <c r="A384" s="211" t="s">
        <v>57</v>
      </c>
      <c r="B384" s="11" t="s">
        <v>348</v>
      </c>
      <c r="C384" s="201" t="s">
        <v>109</v>
      </c>
      <c r="D384" s="212" t="s">
        <v>110</v>
      </c>
      <c r="E384" s="21">
        <f>E385</f>
        <v>2379.4</v>
      </c>
      <c r="F384" s="21">
        <f t="shared" si="133"/>
        <v>2379.4</v>
      </c>
    </row>
    <row r="385" spans="1:6">
      <c r="A385" s="211" t="s">
        <v>57</v>
      </c>
      <c r="B385" s="11" t="s">
        <v>348</v>
      </c>
      <c r="C385" s="211">
        <v>610</v>
      </c>
      <c r="D385" s="212" t="s">
        <v>123</v>
      </c>
      <c r="E385" s="21">
        <f>№6!F749</f>
        <v>2379.4</v>
      </c>
      <c r="F385" s="21">
        <f>№6!G749</f>
        <v>2379.4</v>
      </c>
    </row>
    <row r="386" spans="1:6" ht="94.5">
      <c r="A386" s="211" t="s">
        <v>57</v>
      </c>
      <c r="B386" s="211">
        <v>1110110750</v>
      </c>
      <c r="C386" s="211"/>
      <c r="D386" s="30" t="s">
        <v>218</v>
      </c>
      <c r="E386" s="21">
        <f>E387</f>
        <v>183189.09999999998</v>
      </c>
      <c r="F386" s="21">
        <f t="shared" ref="F386:F387" si="134">F387</f>
        <v>183189.1</v>
      </c>
    </row>
    <row r="387" spans="1:6" ht="31.5">
      <c r="A387" s="211" t="s">
        <v>57</v>
      </c>
      <c r="B387" s="211">
        <v>1110110750</v>
      </c>
      <c r="C387" s="201" t="s">
        <v>109</v>
      </c>
      <c r="D387" s="212" t="s">
        <v>110</v>
      </c>
      <c r="E387" s="21">
        <f>E388</f>
        <v>183189.09999999998</v>
      </c>
      <c r="F387" s="21">
        <f t="shared" si="134"/>
        <v>183189.1</v>
      </c>
    </row>
    <row r="388" spans="1:6">
      <c r="A388" s="211" t="s">
        <v>57</v>
      </c>
      <c r="B388" s="211">
        <v>1110110750</v>
      </c>
      <c r="C388" s="211">
        <v>610</v>
      </c>
      <c r="D388" s="212" t="s">
        <v>123</v>
      </c>
      <c r="E388" s="21">
        <f>№6!F752</f>
        <v>183189.09999999998</v>
      </c>
      <c r="F388" s="21">
        <f>№6!G752</f>
        <v>183189.1</v>
      </c>
    </row>
    <row r="389" spans="1:6" ht="31.5">
      <c r="A389" s="211" t="s">
        <v>57</v>
      </c>
      <c r="B389" s="11" t="s">
        <v>216</v>
      </c>
      <c r="C389" s="11"/>
      <c r="D389" s="9" t="s">
        <v>144</v>
      </c>
      <c r="E389" s="21">
        <f>E390</f>
        <v>38342.600000000006</v>
      </c>
      <c r="F389" s="21">
        <f t="shared" ref="F389:F390" si="135">F390</f>
        <v>38342.6</v>
      </c>
    </row>
    <row r="390" spans="1:6" ht="31.5">
      <c r="A390" s="211" t="s">
        <v>57</v>
      </c>
      <c r="B390" s="11" t="s">
        <v>216</v>
      </c>
      <c r="C390" s="201" t="s">
        <v>109</v>
      </c>
      <c r="D390" s="212" t="s">
        <v>110</v>
      </c>
      <c r="E390" s="21">
        <f>E391</f>
        <v>38342.600000000006</v>
      </c>
      <c r="F390" s="21">
        <f t="shared" si="135"/>
        <v>38342.6</v>
      </c>
    </row>
    <row r="391" spans="1:6">
      <c r="A391" s="211" t="s">
        <v>57</v>
      </c>
      <c r="B391" s="11" t="s">
        <v>216</v>
      </c>
      <c r="C391" s="211">
        <v>610</v>
      </c>
      <c r="D391" s="212" t="s">
        <v>123</v>
      </c>
      <c r="E391" s="21">
        <f>№6!F755</f>
        <v>38342.600000000006</v>
      </c>
      <c r="F391" s="21">
        <f>№6!G755</f>
        <v>38342.6</v>
      </c>
    </row>
    <row r="392" spans="1:6" ht="47.25">
      <c r="A392" s="211" t="s">
        <v>57</v>
      </c>
      <c r="B392" s="11" t="s">
        <v>351</v>
      </c>
      <c r="C392" s="13"/>
      <c r="D392" s="9" t="s">
        <v>349</v>
      </c>
      <c r="E392" s="21">
        <f>E393</f>
        <v>237.89999999999998</v>
      </c>
      <c r="F392" s="21">
        <f t="shared" ref="F392:F393" si="136">F393</f>
        <v>237.9</v>
      </c>
    </row>
    <row r="393" spans="1:6" ht="31.5">
      <c r="A393" s="211" t="s">
        <v>57</v>
      </c>
      <c r="B393" s="11" t="s">
        <v>351</v>
      </c>
      <c r="C393" s="201" t="s">
        <v>109</v>
      </c>
      <c r="D393" s="212" t="s">
        <v>110</v>
      </c>
      <c r="E393" s="21">
        <f>E394</f>
        <v>237.89999999999998</v>
      </c>
      <c r="F393" s="21">
        <f t="shared" si="136"/>
        <v>237.9</v>
      </c>
    </row>
    <row r="394" spans="1:6">
      <c r="A394" s="211" t="s">
        <v>57</v>
      </c>
      <c r="B394" s="11" t="s">
        <v>351</v>
      </c>
      <c r="C394" s="211">
        <v>610</v>
      </c>
      <c r="D394" s="212" t="s">
        <v>123</v>
      </c>
      <c r="E394" s="21">
        <f>№6!F758</f>
        <v>237.89999999999998</v>
      </c>
      <c r="F394" s="21">
        <f>№6!G758</f>
        <v>237.9</v>
      </c>
    </row>
    <row r="395" spans="1:6" ht="31.5">
      <c r="A395" s="211" t="s">
        <v>57</v>
      </c>
      <c r="B395" s="211">
        <v>1110300000</v>
      </c>
      <c r="C395" s="211"/>
      <c r="D395" s="30" t="s">
        <v>219</v>
      </c>
      <c r="E395" s="21">
        <f>E399+E396</f>
        <v>8326</v>
      </c>
      <c r="F395" s="21">
        <f t="shared" ref="F395" si="137">F399+F396</f>
        <v>8326</v>
      </c>
    </row>
    <row r="396" spans="1:6" ht="47.25">
      <c r="A396" s="211" t="s">
        <v>57</v>
      </c>
      <c r="B396" s="211">
        <v>1110310230</v>
      </c>
      <c r="C396" s="211"/>
      <c r="D396" s="212" t="s">
        <v>299</v>
      </c>
      <c r="E396" s="21">
        <f>E397</f>
        <v>4163</v>
      </c>
      <c r="F396" s="21">
        <f t="shared" ref="F396:F397" si="138">F397</f>
        <v>4163</v>
      </c>
    </row>
    <row r="397" spans="1:6" ht="31.5">
      <c r="A397" s="211" t="s">
        <v>57</v>
      </c>
      <c r="B397" s="211">
        <v>1110310230</v>
      </c>
      <c r="C397" s="201" t="s">
        <v>109</v>
      </c>
      <c r="D397" s="212" t="s">
        <v>110</v>
      </c>
      <c r="E397" s="21">
        <f>E398</f>
        <v>4163</v>
      </c>
      <c r="F397" s="21">
        <f t="shared" si="138"/>
        <v>4163</v>
      </c>
    </row>
    <row r="398" spans="1:6">
      <c r="A398" s="211" t="s">
        <v>57</v>
      </c>
      <c r="B398" s="211">
        <v>1110310230</v>
      </c>
      <c r="C398" s="211">
        <v>610</v>
      </c>
      <c r="D398" s="212" t="s">
        <v>123</v>
      </c>
      <c r="E398" s="21">
        <f>№6!F762</f>
        <v>4163</v>
      </c>
      <c r="F398" s="21">
        <f>№6!G762</f>
        <v>4163</v>
      </c>
    </row>
    <row r="399" spans="1:6" ht="47.25">
      <c r="A399" s="211" t="s">
        <v>57</v>
      </c>
      <c r="B399" s="211" t="s">
        <v>221</v>
      </c>
      <c r="C399" s="211"/>
      <c r="D399" s="30" t="s">
        <v>220</v>
      </c>
      <c r="E399" s="21">
        <f>E400</f>
        <v>4163</v>
      </c>
      <c r="F399" s="21">
        <f t="shared" ref="F399:F400" si="139">F400</f>
        <v>4163</v>
      </c>
    </row>
    <row r="400" spans="1:6" ht="31.5">
      <c r="A400" s="211" t="s">
        <v>57</v>
      </c>
      <c r="B400" s="211" t="s">
        <v>221</v>
      </c>
      <c r="C400" s="201" t="s">
        <v>109</v>
      </c>
      <c r="D400" s="212" t="s">
        <v>110</v>
      </c>
      <c r="E400" s="21">
        <f>E401</f>
        <v>4163</v>
      </c>
      <c r="F400" s="21">
        <f t="shared" si="139"/>
        <v>4163</v>
      </c>
    </row>
    <row r="401" spans="1:6">
      <c r="A401" s="211" t="s">
        <v>57</v>
      </c>
      <c r="B401" s="211" t="s">
        <v>221</v>
      </c>
      <c r="C401" s="211">
        <v>610</v>
      </c>
      <c r="D401" s="212" t="s">
        <v>123</v>
      </c>
      <c r="E401" s="21">
        <f>№6!F765</f>
        <v>4163</v>
      </c>
      <c r="F401" s="21">
        <f>№6!G765</f>
        <v>4163</v>
      </c>
    </row>
    <row r="402" spans="1:6" ht="63">
      <c r="A402" s="211" t="s">
        <v>57</v>
      </c>
      <c r="B402" s="211">
        <v>1110500000</v>
      </c>
      <c r="C402" s="211"/>
      <c r="D402" s="30" t="s">
        <v>222</v>
      </c>
      <c r="E402" s="21">
        <f>E406+E403+E409</f>
        <v>9521.9</v>
      </c>
      <c r="F402" s="21">
        <f t="shared" ref="F402" si="140">F406+F403+F409</f>
        <v>9439.6</v>
      </c>
    </row>
    <row r="403" spans="1:6" ht="47.25">
      <c r="A403" s="211" t="s">
        <v>57</v>
      </c>
      <c r="B403" s="211">
        <v>1110510440</v>
      </c>
      <c r="C403" s="211"/>
      <c r="D403" s="212" t="s">
        <v>314</v>
      </c>
      <c r="E403" s="21">
        <f>E404</f>
        <v>6050.0999999999995</v>
      </c>
      <c r="F403" s="21">
        <f t="shared" ref="F403:F404" si="141">F404</f>
        <v>5967.8</v>
      </c>
    </row>
    <row r="404" spans="1:6" ht="31.5">
      <c r="A404" s="211" t="s">
        <v>57</v>
      </c>
      <c r="B404" s="211">
        <v>1110510440</v>
      </c>
      <c r="C404" s="201" t="s">
        <v>109</v>
      </c>
      <c r="D404" s="212" t="s">
        <v>110</v>
      </c>
      <c r="E404" s="21">
        <f>E405</f>
        <v>6050.0999999999995</v>
      </c>
      <c r="F404" s="21">
        <f t="shared" si="141"/>
        <v>5967.8</v>
      </c>
    </row>
    <row r="405" spans="1:6">
      <c r="A405" s="211" t="s">
        <v>57</v>
      </c>
      <c r="B405" s="211">
        <v>1110510440</v>
      </c>
      <c r="C405" s="211">
        <v>610</v>
      </c>
      <c r="D405" s="212" t="s">
        <v>123</v>
      </c>
      <c r="E405" s="21">
        <f>№6!F769</f>
        <v>6050.0999999999995</v>
      </c>
      <c r="F405" s="21">
        <f>№6!G769</f>
        <v>5967.8</v>
      </c>
    </row>
    <row r="406" spans="1:6" ht="31.5">
      <c r="A406" s="211" t="s">
        <v>57</v>
      </c>
      <c r="B406" s="211" t="s">
        <v>223</v>
      </c>
      <c r="C406" s="211"/>
      <c r="D406" s="212" t="s">
        <v>306</v>
      </c>
      <c r="E406" s="21">
        <f>E407</f>
        <v>2150.5000000000005</v>
      </c>
      <c r="F406" s="21">
        <f t="shared" ref="F406:F407" si="142">F407</f>
        <v>2150.5</v>
      </c>
    </row>
    <row r="407" spans="1:6" ht="31.5">
      <c r="A407" s="211" t="s">
        <v>57</v>
      </c>
      <c r="B407" s="211" t="s">
        <v>223</v>
      </c>
      <c r="C407" s="201" t="s">
        <v>109</v>
      </c>
      <c r="D407" s="212" t="s">
        <v>110</v>
      </c>
      <c r="E407" s="21">
        <f>E408</f>
        <v>2150.5000000000005</v>
      </c>
      <c r="F407" s="21">
        <f t="shared" si="142"/>
        <v>2150.5</v>
      </c>
    </row>
    <row r="408" spans="1:6">
      <c r="A408" s="211" t="s">
        <v>57</v>
      </c>
      <c r="B408" s="211" t="s">
        <v>223</v>
      </c>
      <c r="C408" s="211">
        <v>610</v>
      </c>
      <c r="D408" s="212" t="s">
        <v>123</v>
      </c>
      <c r="E408" s="21">
        <f>№6!F772</f>
        <v>2150.5000000000005</v>
      </c>
      <c r="F408" s="21">
        <f>№6!G772</f>
        <v>2150.5</v>
      </c>
    </row>
    <row r="409" spans="1:6">
      <c r="A409" s="211" t="s">
        <v>57</v>
      </c>
      <c r="B409" s="11" t="s">
        <v>323</v>
      </c>
      <c r="C409" s="211"/>
      <c r="D409" s="212" t="s">
        <v>324</v>
      </c>
      <c r="E409" s="21">
        <f>E410</f>
        <v>1321.3</v>
      </c>
      <c r="F409" s="21">
        <f t="shared" ref="F409:F410" si="143">F410</f>
        <v>1321.3</v>
      </c>
    </row>
    <row r="410" spans="1:6" ht="31.5">
      <c r="A410" s="211" t="s">
        <v>57</v>
      </c>
      <c r="B410" s="11" t="s">
        <v>323</v>
      </c>
      <c r="C410" s="201" t="s">
        <v>109</v>
      </c>
      <c r="D410" s="212" t="s">
        <v>110</v>
      </c>
      <c r="E410" s="21">
        <f>E411</f>
        <v>1321.3</v>
      </c>
      <c r="F410" s="21">
        <f t="shared" si="143"/>
        <v>1321.3</v>
      </c>
    </row>
    <row r="411" spans="1:6">
      <c r="A411" s="211" t="s">
        <v>57</v>
      </c>
      <c r="B411" s="11" t="s">
        <v>323</v>
      </c>
      <c r="C411" s="201">
        <v>610</v>
      </c>
      <c r="D411" s="212" t="s">
        <v>123</v>
      </c>
      <c r="E411" s="21">
        <f>№6!F775</f>
        <v>1321.3</v>
      </c>
      <c r="F411" s="21">
        <f>№6!G775</f>
        <v>1321.3</v>
      </c>
    </row>
    <row r="412" spans="1:6" ht="63">
      <c r="A412" s="211" t="s">
        <v>57</v>
      </c>
      <c r="B412" s="211">
        <v>1110600000</v>
      </c>
      <c r="C412" s="211"/>
      <c r="D412" s="212" t="s">
        <v>290</v>
      </c>
      <c r="E412" s="21">
        <f>E413+E416</f>
        <v>262</v>
      </c>
      <c r="F412" s="21">
        <f t="shared" ref="F412" si="144">F413+F416</f>
        <v>262</v>
      </c>
    </row>
    <row r="413" spans="1:6" ht="31.5">
      <c r="A413" s="211" t="s">
        <v>57</v>
      </c>
      <c r="B413" s="211">
        <v>1110610440</v>
      </c>
      <c r="C413" s="211"/>
      <c r="D413" s="212" t="s">
        <v>306</v>
      </c>
      <c r="E413" s="21">
        <f>E414</f>
        <v>131</v>
      </c>
      <c r="F413" s="21">
        <f t="shared" ref="F413:F414" si="145">F414</f>
        <v>131</v>
      </c>
    </row>
    <row r="414" spans="1:6" ht="31.5">
      <c r="A414" s="211" t="s">
        <v>57</v>
      </c>
      <c r="B414" s="211">
        <v>1110610440</v>
      </c>
      <c r="C414" s="201" t="s">
        <v>109</v>
      </c>
      <c r="D414" s="212" t="s">
        <v>110</v>
      </c>
      <c r="E414" s="21">
        <f>E415</f>
        <v>131</v>
      </c>
      <c r="F414" s="21">
        <f t="shared" si="145"/>
        <v>131</v>
      </c>
    </row>
    <row r="415" spans="1:6">
      <c r="A415" s="211" t="s">
        <v>57</v>
      </c>
      <c r="B415" s="211">
        <v>1110610440</v>
      </c>
      <c r="C415" s="211">
        <v>610</v>
      </c>
      <c r="D415" s="212" t="s">
        <v>123</v>
      </c>
      <c r="E415" s="21">
        <f>№6!F779</f>
        <v>131</v>
      </c>
      <c r="F415" s="21">
        <f>№6!G779</f>
        <v>131</v>
      </c>
    </row>
    <row r="416" spans="1:6" ht="31.5">
      <c r="A416" s="211" t="s">
        <v>57</v>
      </c>
      <c r="B416" s="211" t="s">
        <v>289</v>
      </c>
      <c r="C416" s="211"/>
      <c r="D416" s="212" t="s">
        <v>306</v>
      </c>
      <c r="E416" s="21">
        <f>E417</f>
        <v>131</v>
      </c>
      <c r="F416" s="21">
        <f t="shared" ref="F416:F417" si="146">F417</f>
        <v>131</v>
      </c>
    </row>
    <row r="417" spans="1:6" ht="31.5">
      <c r="A417" s="211" t="s">
        <v>57</v>
      </c>
      <c r="B417" s="211" t="s">
        <v>289</v>
      </c>
      <c r="C417" s="201" t="s">
        <v>109</v>
      </c>
      <c r="D417" s="212" t="s">
        <v>110</v>
      </c>
      <c r="E417" s="21">
        <f>E418</f>
        <v>131</v>
      </c>
      <c r="F417" s="21">
        <f t="shared" si="146"/>
        <v>131</v>
      </c>
    </row>
    <row r="418" spans="1:6">
      <c r="A418" s="211" t="s">
        <v>57</v>
      </c>
      <c r="B418" s="211" t="s">
        <v>289</v>
      </c>
      <c r="C418" s="211">
        <v>610</v>
      </c>
      <c r="D418" s="212" t="s">
        <v>123</v>
      </c>
      <c r="E418" s="21">
        <f>№6!F782</f>
        <v>131</v>
      </c>
      <c r="F418" s="21">
        <f>№6!G782</f>
        <v>131</v>
      </c>
    </row>
    <row r="419" spans="1:6">
      <c r="A419" s="211" t="s">
        <v>57</v>
      </c>
      <c r="B419" s="211">
        <v>1120000000</v>
      </c>
      <c r="C419" s="211"/>
      <c r="D419" s="212" t="s">
        <v>142</v>
      </c>
      <c r="E419" s="21">
        <f>E420</f>
        <v>3760.5</v>
      </c>
      <c r="F419" s="21">
        <f t="shared" ref="F419:F422" si="147">F420</f>
        <v>3760.5</v>
      </c>
    </row>
    <row r="420" spans="1:6" ht="47.25">
      <c r="A420" s="211" t="s">
        <v>57</v>
      </c>
      <c r="B420" s="211">
        <v>1120100000</v>
      </c>
      <c r="C420" s="211"/>
      <c r="D420" s="212" t="s">
        <v>143</v>
      </c>
      <c r="E420" s="21">
        <f>E421</f>
        <v>3760.5</v>
      </c>
      <c r="F420" s="21">
        <f t="shared" si="147"/>
        <v>3760.5</v>
      </c>
    </row>
    <row r="421" spans="1:6" ht="31.5">
      <c r="A421" s="211" t="s">
        <v>57</v>
      </c>
      <c r="B421" s="211">
        <v>1120120010</v>
      </c>
      <c r="C421" s="211"/>
      <c r="D421" s="212" t="s">
        <v>144</v>
      </c>
      <c r="E421" s="21">
        <f>E422</f>
        <v>3760.5</v>
      </c>
      <c r="F421" s="21">
        <f t="shared" si="147"/>
        <v>3760.5</v>
      </c>
    </row>
    <row r="422" spans="1:6" ht="31.5">
      <c r="A422" s="211" t="s">
        <v>57</v>
      </c>
      <c r="B422" s="211">
        <v>1120120010</v>
      </c>
      <c r="C422" s="201" t="s">
        <v>109</v>
      </c>
      <c r="D422" s="212" t="s">
        <v>110</v>
      </c>
      <c r="E422" s="21">
        <f>E423</f>
        <v>3760.5</v>
      </c>
      <c r="F422" s="21">
        <f t="shared" si="147"/>
        <v>3760.5</v>
      </c>
    </row>
    <row r="423" spans="1:6">
      <c r="A423" s="211" t="s">
        <v>57</v>
      </c>
      <c r="B423" s="211">
        <v>1120120010</v>
      </c>
      <c r="C423" s="211">
        <v>610</v>
      </c>
      <c r="D423" s="212" t="s">
        <v>123</v>
      </c>
      <c r="E423" s="21">
        <f>№6!F787</f>
        <v>3760.5</v>
      </c>
      <c r="F423" s="21">
        <f>№6!G787</f>
        <v>3760.5</v>
      </c>
    </row>
    <row r="424" spans="1:6" ht="31.5">
      <c r="A424" s="211" t="s">
        <v>57</v>
      </c>
      <c r="B424" s="211">
        <v>1130000000</v>
      </c>
      <c r="C424" s="211"/>
      <c r="D424" s="212" t="s">
        <v>135</v>
      </c>
      <c r="E424" s="21">
        <f>E425</f>
        <v>108</v>
      </c>
      <c r="F424" s="21">
        <f t="shared" ref="F424:F430" si="148">F425</f>
        <v>108</v>
      </c>
    </row>
    <row r="425" spans="1:6" ht="31.5">
      <c r="A425" s="211" t="s">
        <v>57</v>
      </c>
      <c r="B425" s="211">
        <v>1130100000</v>
      </c>
      <c r="C425" s="211"/>
      <c r="D425" s="212" t="s">
        <v>281</v>
      </c>
      <c r="E425" s="21">
        <f>E429+E426</f>
        <v>108</v>
      </c>
      <c r="F425" s="21">
        <f t="shared" ref="F425" si="149">F429+F426</f>
        <v>108</v>
      </c>
    </row>
    <row r="426" spans="1:6" ht="78.75">
      <c r="A426" s="211" t="s">
        <v>57</v>
      </c>
      <c r="B426" s="211">
        <v>1130110660</v>
      </c>
      <c r="C426" s="211"/>
      <c r="D426" s="212" t="s">
        <v>307</v>
      </c>
      <c r="E426" s="21">
        <f>E427</f>
        <v>97.2</v>
      </c>
      <c r="F426" s="21">
        <f t="shared" ref="F426:F427" si="150">F427</f>
        <v>97.2</v>
      </c>
    </row>
    <row r="427" spans="1:6" ht="31.5">
      <c r="A427" s="211" t="s">
        <v>57</v>
      </c>
      <c r="B427" s="211">
        <v>1130110660</v>
      </c>
      <c r="C427" s="201" t="s">
        <v>109</v>
      </c>
      <c r="D427" s="212" t="s">
        <v>110</v>
      </c>
      <c r="E427" s="21">
        <f>E428</f>
        <v>97.2</v>
      </c>
      <c r="F427" s="21">
        <f t="shared" si="150"/>
        <v>97.2</v>
      </c>
    </row>
    <row r="428" spans="1:6">
      <c r="A428" s="211" t="s">
        <v>57</v>
      </c>
      <c r="B428" s="211">
        <v>1130110660</v>
      </c>
      <c r="C428" s="211">
        <v>610</v>
      </c>
      <c r="D428" s="212" t="s">
        <v>123</v>
      </c>
      <c r="E428" s="21">
        <f>№6!F792</f>
        <v>97.2</v>
      </c>
      <c r="F428" s="21">
        <f>№6!G792</f>
        <v>97.2</v>
      </c>
    </row>
    <row r="429" spans="1:6" ht="63">
      <c r="A429" s="211" t="s">
        <v>57</v>
      </c>
      <c r="B429" s="211" t="s">
        <v>282</v>
      </c>
      <c r="C429" s="211"/>
      <c r="D429" s="212" t="s">
        <v>308</v>
      </c>
      <c r="E429" s="21">
        <f>E430</f>
        <v>10.799999999999999</v>
      </c>
      <c r="F429" s="21">
        <f t="shared" si="148"/>
        <v>10.8</v>
      </c>
    </row>
    <row r="430" spans="1:6" ht="31.5">
      <c r="A430" s="211" t="s">
        <v>57</v>
      </c>
      <c r="B430" s="211" t="s">
        <v>282</v>
      </c>
      <c r="C430" s="201" t="s">
        <v>109</v>
      </c>
      <c r="D430" s="212" t="s">
        <v>110</v>
      </c>
      <c r="E430" s="21">
        <f>E431</f>
        <v>10.799999999999999</v>
      </c>
      <c r="F430" s="21">
        <f t="shared" si="148"/>
        <v>10.8</v>
      </c>
    </row>
    <row r="431" spans="1:6">
      <c r="A431" s="211" t="s">
        <v>57</v>
      </c>
      <c r="B431" s="211" t="s">
        <v>282</v>
      </c>
      <c r="C431" s="211">
        <v>610</v>
      </c>
      <c r="D431" s="212" t="s">
        <v>123</v>
      </c>
      <c r="E431" s="21">
        <f>№6!F795</f>
        <v>10.799999999999999</v>
      </c>
      <c r="F431" s="21">
        <f>№6!G795</f>
        <v>10.8</v>
      </c>
    </row>
    <row r="432" spans="1:6" ht="31.5">
      <c r="A432" s="211" t="s">
        <v>57</v>
      </c>
      <c r="B432" s="201">
        <v>1500000000</v>
      </c>
      <c r="C432" s="211"/>
      <c r="D432" s="30" t="s">
        <v>232</v>
      </c>
      <c r="E432" s="21">
        <f>E433</f>
        <v>578.19999999999993</v>
      </c>
      <c r="F432" s="21">
        <f t="shared" ref="F432:F434" si="151">F433</f>
        <v>578.09999999999991</v>
      </c>
    </row>
    <row r="433" spans="1:6" ht="31.5">
      <c r="A433" s="211" t="s">
        <v>57</v>
      </c>
      <c r="B433" s="201">
        <v>1520000000</v>
      </c>
      <c r="C433" s="211"/>
      <c r="D433" s="212" t="s">
        <v>224</v>
      </c>
      <c r="E433" s="21">
        <f>E434+E438</f>
        <v>578.19999999999993</v>
      </c>
      <c r="F433" s="21">
        <f>F434+F438</f>
        <v>578.09999999999991</v>
      </c>
    </row>
    <row r="434" spans="1:6" ht="63">
      <c r="A434" s="211" t="s">
        <v>57</v>
      </c>
      <c r="B434" s="211">
        <v>1520100000</v>
      </c>
      <c r="C434" s="211"/>
      <c r="D434" s="212" t="s">
        <v>297</v>
      </c>
      <c r="E434" s="21">
        <f>E435</f>
        <v>512.4</v>
      </c>
      <c r="F434" s="21">
        <f t="shared" si="151"/>
        <v>512.29999999999995</v>
      </c>
    </row>
    <row r="435" spans="1:6" ht="31.5">
      <c r="A435" s="211" t="s">
        <v>57</v>
      </c>
      <c r="B435" s="11" t="s">
        <v>359</v>
      </c>
      <c r="C435" s="211"/>
      <c r="D435" s="212" t="s">
        <v>365</v>
      </c>
      <c r="E435" s="21">
        <f>E436</f>
        <v>512.4</v>
      </c>
      <c r="F435" s="21">
        <f t="shared" ref="F435:F436" si="152">F436</f>
        <v>512.29999999999995</v>
      </c>
    </row>
    <row r="436" spans="1:6" ht="31.5">
      <c r="A436" s="211" t="s">
        <v>57</v>
      </c>
      <c r="B436" s="11" t="s">
        <v>359</v>
      </c>
      <c r="C436" s="201" t="s">
        <v>109</v>
      </c>
      <c r="D436" s="212" t="s">
        <v>110</v>
      </c>
      <c r="E436" s="21">
        <f>E437</f>
        <v>512.4</v>
      </c>
      <c r="F436" s="21">
        <f t="shared" si="152"/>
        <v>512.29999999999995</v>
      </c>
    </row>
    <row r="437" spans="1:6">
      <c r="A437" s="211" t="s">
        <v>57</v>
      </c>
      <c r="B437" s="11" t="s">
        <v>359</v>
      </c>
      <c r="C437" s="211">
        <v>610</v>
      </c>
      <c r="D437" s="212" t="s">
        <v>123</v>
      </c>
      <c r="E437" s="21">
        <f>№6!F801</f>
        <v>512.4</v>
      </c>
      <c r="F437" s="21">
        <f>№6!G801</f>
        <v>512.29999999999995</v>
      </c>
    </row>
    <row r="438" spans="1:6" ht="47.25">
      <c r="A438" s="211" t="s">
        <v>57</v>
      </c>
      <c r="B438" s="11" t="s">
        <v>362</v>
      </c>
      <c r="C438" s="211"/>
      <c r="D438" s="212" t="s">
        <v>364</v>
      </c>
      <c r="E438" s="21">
        <f>E439</f>
        <v>65.8</v>
      </c>
      <c r="F438" s="21">
        <f t="shared" ref="F438" si="153">F439</f>
        <v>65.8</v>
      </c>
    </row>
    <row r="439" spans="1:6">
      <c r="A439" s="211" t="s">
        <v>57</v>
      </c>
      <c r="B439" s="11" t="s">
        <v>362</v>
      </c>
      <c r="C439" s="211"/>
      <c r="D439" s="212" t="s">
        <v>361</v>
      </c>
      <c r="E439" s="21">
        <f>E440</f>
        <v>65.8</v>
      </c>
      <c r="F439" s="21">
        <f>F440</f>
        <v>65.8</v>
      </c>
    </row>
    <row r="440" spans="1:6" ht="31.5">
      <c r="A440" s="211" t="s">
        <v>57</v>
      </c>
      <c r="B440" s="11" t="s">
        <v>362</v>
      </c>
      <c r="C440" s="201" t="s">
        <v>109</v>
      </c>
      <c r="D440" s="212" t="s">
        <v>110</v>
      </c>
      <c r="E440" s="21">
        <f>E441</f>
        <v>65.8</v>
      </c>
      <c r="F440" s="21">
        <f t="shared" ref="F440" si="154">F441</f>
        <v>65.8</v>
      </c>
    </row>
    <row r="441" spans="1:6">
      <c r="A441" s="211" t="s">
        <v>57</v>
      </c>
      <c r="B441" s="11" t="s">
        <v>362</v>
      </c>
      <c r="C441" s="211">
        <v>610</v>
      </c>
      <c r="D441" s="212" t="s">
        <v>123</v>
      </c>
      <c r="E441" s="21">
        <f>№6!F805</f>
        <v>65.8</v>
      </c>
      <c r="F441" s="21">
        <f>№6!G805</f>
        <v>65.8</v>
      </c>
    </row>
    <row r="442" spans="1:6">
      <c r="A442" s="211" t="s">
        <v>57</v>
      </c>
      <c r="B442" s="211">
        <v>9900000000</v>
      </c>
      <c r="C442" s="211"/>
      <c r="D442" s="212" t="s">
        <v>124</v>
      </c>
      <c r="E442" s="28">
        <f>E443</f>
        <v>370.1</v>
      </c>
      <c r="F442" s="28">
        <f t="shared" ref="F442:F445" si="155">F443</f>
        <v>370.1</v>
      </c>
    </row>
    <row r="443" spans="1:6" ht="47.25">
      <c r="A443" s="211" t="s">
        <v>57</v>
      </c>
      <c r="B443" s="211">
        <v>9920000000</v>
      </c>
      <c r="C443" s="211"/>
      <c r="D443" s="212" t="s">
        <v>366</v>
      </c>
      <c r="E443" s="28">
        <f>E444</f>
        <v>370.1</v>
      </c>
      <c r="F443" s="28">
        <f t="shared" si="155"/>
        <v>370.1</v>
      </c>
    </row>
    <row r="444" spans="1:6" ht="31.5">
      <c r="A444" s="211" t="s">
        <v>57</v>
      </c>
      <c r="B444" s="211">
        <v>9920010920</v>
      </c>
      <c r="C444" s="211"/>
      <c r="D444" s="212" t="s">
        <v>367</v>
      </c>
      <c r="E444" s="28">
        <f>E445</f>
        <v>370.1</v>
      </c>
      <c r="F444" s="28">
        <f t="shared" si="155"/>
        <v>370.1</v>
      </c>
    </row>
    <row r="445" spans="1:6" ht="31.5">
      <c r="A445" s="211" t="s">
        <v>57</v>
      </c>
      <c r="B445" s="211">
        <v>9920010920</v>
      </c>
      <c r="C445" s="201" t="s">
        <v>109</v>
      </c>
      <c r="D445" s="212" t="s">
        <v>110</v>
      </c>
      <c r="E445" s="28">
        <f>E446</f>
        <v>370.1</v>
      </c>
      <c r="F445" s="28">
        <f t="shared" si="155"/>
        <v>370.1</v>
      </c>
    </row>
    <row r="446" spans="1:6">
      <c r="A446" s="211" t="s">
        <v>57</v>
      </c>
      <c r="B446" s="211">
        <v>9920010920</v>
      </c>
      <c r="C446" s="211">
        <v>610</v>
      </c>
      <c r="D446" s="212" t="s">
        <v>123</v>
      </c>
      <c r="E446" s="28">
        <f>№6!F810</f>
        <v>370.1</v>
      </c>
      <c r="F446" s="28">
        <f>№6!G810</f>
        <v>370.1</v>
      </c>
    </row>
    <row r="447" spans="1:6">
      <c r="A447" s="211" t="s">
        <v>100</v>
      </c>
      <c r="B447" s="211" t="s">
        <v>72</v>
      </c>
      <c r="C447" s="211" t="s">
        <v>72</v>
      </c>
      <c r="D447" s="30" t="s">
        <v>101</v>
      </c>
      <c r="E447" s="21">
        <f>E448+E473+E479</f>
        <v>46500.7</v>
      </c>
      <c r="F447" s="21">
        <f>F448+F473+F479</f>
        <v>46478.7</v>
      </c>
    </row>
    <row r="448" spans="1:6" ht="31.5">
      <c r="A448" s="211" t="s">
        <v>100</v>
      </c>
      <c r="B448" s="201">
        <v>1100000000</v>
      </c>
      <c r="C448" s="211"/>
      <c r="D448" s="212" t="s">
        <v>236</v>
      </c>
      <c r="E448" s="21">
        <f t="shared" ref="E448:F458" si="156">E449</f>
        <v>46045.2</v>
      </c>
      <c r="F448" s="21">
        <f t="shared" si="156"/>
        <v>46023.199999999997</v>
      </c>
    </row>
    <row r="449" spans="1:6">
      <c r="A449" s="211" t="s">
        <v>100</v>
      </c>
      <c r="B449" s="211">
        <v>1120000000</v>
      </c>
      <c r="C449" s="211"/>
      <c r="D449" s="212" t="s">
        <v>142</v>
      </c>
      <c r="E449" s="21">
        <f>E450+E466</f>
        <v>46045.2</v>
      </c>
      <c r="F449" s="21">
        <f>F450+F466</f>
        <v>46023.199999999997</v>
      </c>
    </row>
    <row r="450" spans="1:6" ht="47.25">
      <c r="A450" s="211" t="s">
        <v>100</v>
      </c>
      <c r="B450" s="211">
        <v>1120100000</v>
      </c>
      <c r="C450" s="211"/>
      <c r="D450" s="212" t="s">
        <v>143</v>
      </c>
      <c r="E450" s="21">
        <f>E457+E454+E463+E453+E460</f>
        <v>45227.6</v>
      </c>
      <c r="F450" s="21">
        <f>F457+F454+F463+F453+F460</f>
        <v>45227.6</v>
      </c>
    </row>
    <row r="451" spans="1:6" ht="47.25">
      <c r="A451" s="211" t="s">
        <v>100</v>
      </c>
      <c r="B451" s="11" t="s">
        <v>350</v>
      </c>
      <c r="C451" s="13"/>
      <c r="D451" s="9" t="s">
        <v>349</v>
      </c>
      <c r="E451" s="21">
        <f>E452</f>
        <v>1103.6000000000001</v>
      </c>
      <c r="F451" s="21">
        <f>F452</f>
        <v>1103.5999999999999</v>
      </c>
    </row>
    <row r="452" spans="1:6" ht="31.5">
      <c r="A452" s="211" t="s">
        <v>100</v>
      </c>
      <c r="B452" s="11" t="s">
        <v>350</v>
      </c>
      <c r="C452" s="201" t="s">
        <v>109</v>
      </c>
      <c r="D452" s="212" t="s">
        <v>110</v>
      </c>
      <c r="E452" s="21">
        <f>E453</f>
        <v>1103.6000000000001</v>
      </c>
      <c r="F452" s="21">
        <f>F453</f>
        <v>1103.5999999999999</v>
      </c>
    </row>
    <row r="453" spans="1:6">
      <c r="A453" s="211" t="s">
        <v>100</v>
      </c>
      <c r="B453" s="11" t="s">
        <v>350</v>
      </c>
      <c r="C453" s="211">
        <v>610</v>
      </c>
      <c r="D453" s="212" t="s">
        <v>123</v>
      </c>
      <c r="E453" s="21">
        <f>№6!F817+№6!F290</f>
        <v>1103.6000000000001</v>
      </c>
      <c r="F453" s="21">
        <f>№6!G817+№6!G290</f>
        <v>1103.5999999999999</v>
      </c>
    </row>
    <row r="454" spans="1:6" ht="47.25">
      <c r="A454" s="211" t="s">
        <v>100</v>
      </c>
      <c r="B454" s="211">
        <v>1120110690</v>
      </c>
      <c r="C454" s="211"/>
      <c r="D454" s="212" t="s">
        <v>303</v>
      </c>
      <c r="E454" s="28">
        <f>E455</f>
        <v>7399.8</v>
      </c>
      <c r="F454" s="28">
        <f>F455</f>
        <v>7399.9</v>
      </c>
    </row>
    <row r="455" spans="1:6" ht="31.5">
      <c r="A455" s="211" t="s">
        <v>100</v>
      </c>
      <c r="B455" s="211">
        <v>1120110690</v>
      </c>
      <c r="C455" s="201" t="s">
        <v>109</v>
      </c>
      <c r="D455" s="212" t="s">
        <v>110</v>
      </c>
      <c r="E455" s="28">
        <f>E456</f>
        <v>7399.8</v>
      </c>
      <c r="F455" s="28">
        <f t="shared" ref="F455" si="157">F456</f>
        <v>7399.9</v>
      </c>
    </row>
    <row r="456" spans="1:6">
      <c r="A456" s="211" t="s">
        <v>100</v>
      </c>
      <c r="B456" s="211">
        <v>1120110690</v>
      </c>
      <c r="C456" s="211">
        <v>610</v>
      </c>
      <c r="D456" s="212" t="s">
        <v>123</v>
      </c>
      <c r="E456" s="28">
        <f>№6!F293+№6!F648+№6!F820</f>
        <v>7399.8</v>
      </c>
      <c r="F456" s="28">
        <f>№6!G293+№6!G648+№6!G820</f>
        <v>7399.9</v>
      </c>
    </row>
    <row r="457" spans="1:6" ht="31.5">
      <c r="A457" s="211" t="s">
        <v>100</v>
      </c>
      <c r="B457" s="211">
        <v>1120120010</v>
      </c>
      <c r="C457" s="211"/>
      <c r="D457" s="212" t="s">
        <v>144</v>
      </c>
      <c r="E457" s="21">
        <f t="shared" si="156"/>
        <v>36169.599999999999</v>
      </c>
      <c r="F457" s="21">
        <f t="shared" si="156"/>
        <v>36169.599999999999</v>
      </c>
    </row>
    <row r="458" spans="1:6" ht="31.5">
      <c r="A458" s="211" t="s">
        <v>100</v>
      </c>
      <c r="B458" s="211">
        <v>1120120010</v>
      </c>
      <c r="C458" s="201" t="s">
        <v>109</v>
      </c>
      <c r="D458" s="212" t="s">
        <v>110</v>
      </c>
      <c r="E458" s="21">
        <f t="shared" si="156"/>
        <v>36169.599999999999</v>
      </c>
      <c r="F458" s="21">
        <f t="shared" si="156"/>
        <v>36169.599999999999</v>
      </c>
    </row>
    <row r="459" spans="1:6">
      <c r="A459" s="211" t="s">
        <v>100</v>
      </c>
      <c r="B459" s="211">
        <v>1120120010</v>
      </c>
      <c r="C459" s="211">
        <v>610</v>
      </c>
      <c r="D459" s="212" t="s">
        <v>123</v>
      </c>
      <c r="E459" s="21">
        <f>№6!F651+№6!F823+№6!F296</f>
        <v>36169.599999999999</v>
      </c>
      <c r="F459" s="21">
        <f>№6!G651+№6!G823+№6!G296</f>
        <v>36169.599999999999</v>
      </c>
    </row>
    <row r="460" spans="1:6" ht="47.25">
      <c r="A460" s="211" t="s">
        <v>100</v>
      </c>
      <c r="B460" s="11" t="s">
        <v>352</v>
      </c>
      <c r="C460" s="13"/>
      <c r="D460" s="9" t="s">
        <v>349</v>
      </c>
      <c r="E460" s="21">
        <f>E461</f>
        <v>110.5</v>
      </c>
      <c r="F460" s="21">
        <f t="shared" ref="F460:F461" si="158">F461</f>
        <v>110.5</v>
      </c>
    </row>
    <row r="461" spans="1:6" ht="31.5">
      <c r="A461" s="211" t="s">
        <v>100</v>
      </c>
      <c r="B461" s="11" t="s">
        <v>352</v>
      </c>
      <c r="C461" s="201" t="s">
        <v>109</v>
      </c>
      <c r="D461" s="212" t="s">
        <v>110</v>
      </c>
      <c r="E461" s="21">
        <f>E462</f>
        <v>110.5</v>
      </c>
      <c r="F461" s="21">
        <f t="shared" si="158"/>
        <v>110.5</v>
      </c>
    </row>
    <row r="462" spans="1:6">
      <c r="A462" s="211" t="s">
        <v>100</v>
      </c>
      <c r="B462" s="11" t="s">
        <v>352</v>
      </c>
      <c r="C462" s="211">
        <v>610</v>
      </c>
      <c r="D462" s="212" t="s">
        <v>123</v>
      </c>
      <c r="E462" s="21">
        <f>№6!F826+№6!F299</f>
        <v>110.5</v>
      </c>
      <c r="F462" s="21">
        <f>№6!G826+№6!G299</f>
        <v>110.5</v>
      </c>
    </row>
    <row r="463" spans="1:6" ht="47.25">
      <c r="A463" s="211" t="s">
        <v>100</v>
      </c>
      <c r="B463" s="211" t="s">
        <v>302</v>
      </c>
      <c r="C463" s="211"/>
      <c r="D463" s="212" t="s">
        <v>304</v>
      </c>
      <c r="E463" s="28">
        <f>E464</f>
        <v>444.1</v>
      </c>
      <c r="F463" s="28">
        <f t="shared" ref="F463:F464" si="159">F464</f>
        <v>444</v>
      </c>
    </row>
    <row r="464" spans="1:6" ht="31.5">
      <c r="A464" s="211" t="s">
        <v>100</v>
      </c>
      <c r="B464" s="211" t="s">
        <v>302</v>
      </c>
      <c r="C464" s="201" t="s">
        <v>109</v>
      </c>
      <c r="D464" s="212" t="s">
        <v>110</v>
      </c>
      <c r="E464" s="28">
        <f>E465</f>
        <v>444.1</v>
      </c>
      <c r="F464" s="28">
        <f t="shared" si="159"/>
        <v>444</v>
      </c>
    </row>
    <row r="465" spans="1:6">
      <c r="A465" s="211" t="s">
        <v>100</v>
      </c>
      <c r="B465" s="211" t="s">
        <v>302</v>
      </c>
      <c r="C465" s="211">
        <v>610</v>
      </c>
      <c r="D465" s="212" t="s">
        <v>123</v>
      </c>
      <c r="E465" s="28">
        <f>№6!F829+№6!F302</f>
        <v>444.1</v>
      </c>
      <c r="F465" s="28">
        <f>№6!G829+№6!G302</f>
        <v>444</v>
      </c>
    </row>
    <row r="466" spans="1:6" ht="47.25">
      <c r="A466" s="211" t="s">
        <v>100</v>
      </c>
      <c r="B466" s="201">
        <v>1120200000</v>
      </c>
      <c r="C466" s="211"/>
      <c r="D466" s="212" t="s">
        <v>279</v>
      </c>
      <c r="E466" s="21">
        <f>E467+E470</f>
        <v>817.6</v>
      </c>
      <c r="F466" s="21">
        <f>F467+F470</f>
        <v>795.6</v>
      </c>
    </row>
    <row r="467" spans="1:6" ht="31.5">
      <c r="A467" s="211" t="s">
        <v>100</v>
      </c>
      <c r="B467" s="201">
        <v>1120220030</v>
      </c>
      <c r="C467" s="211"/>
      <c r="D467" s="212" t="s">
        <v>280</v>
      </c>
      <c r="E467" s="21">
        <f>E468</f>
        <v>418.5</v>
      </c>
      <c r="F467" s="21">
        <f t="shared" ref="F467:F468" si="160">F468</f>
        <v>418.5</v>
      </c>
    </row>
    <row r="468" spans="1:6" ht="31.5">
      <c r="A468" s="211" t="s">
        <v>100</v>
      </c>
      <c r="B468" s="201">
        <v>1120220030</v>
      </c>
      <c r="C468" s="201" t="s">
        <v>109</v>
      </c>
      <c r="D468" s="212" t="s">
        <v>110</v>
      </c>
      <c r="E468" s="21">
        <f>E469</f>
        <v>418.5</v>
      </c>
      <c r="F468" s="21">
        <f t="shared" si="160"/>
        <v>418.5</v>
      </c>
    </row>
    <row r="469" spans="1:6">
      <c r="A469" s="211" t="s">
        <v>100</v>
      </c>
      <c r="B469" s="201">
        <v>1120220030</v>
      </c>
      <c r="C469" s="211">
        <v>610</v>
      </c>
      <c r="D469" s="212" t="s">
        <v>123</v>
      </c>
      <c r="E469" s="21">
        <f>№6!F306</f>
        <v>418.5</v>
      </c>
      <c r="F469" s="21">
        <f>№6!G306</f>
        <v>418.5</v>
      </c>
    </row>
    <row r="470" spans="1:6" ht="31.5">
      <c r="A470" s="211" t="s">
        <v>100</v>
      </c>
      <c r="B470" s="211" t="s">
        <v>325</v>
      </c>
      <c r="C470" s="211"/>
      <c r="D470" s="212" t="s">
        <v>326</v>
      </c>
      <c r="E470" s="21">
        <f>E471</f>
        <v>399.1</v>
      </c>
      <c r="F470" s="21">
        <f t="shared" ref="F470:F471" si="161">F471</f>
        <v>377.1</v>
      </c>
    </row>
    <row r="471" spans="1:6" ht="31.5">
      <c r="A471" s="211" t="s">
        <v>100</v>
      </c>
      <c r="B471" s="211" t="s">
        <v>325</v>
      </c>
      <c r="C471" s="201" t="s">
        <v>109</v>
      </c>
      <c r="D471" s="212" t="s">
        <v>110</v>
      </c>
      <c r="E471" s="21">
        <f>E472</f>
        <v>399.1</v>
      </c>
      <c r="F471" s="21">
        <f t="shared" si="161"/>
        <v>377.1</v>
      </c>
    </row>
    <row r="472" spans="1:6">
      <c r="A472" s="211" t="s">
        <v>100</v>
      </c>
      <c r="B472" s="211" t="s">
        <v>325</v>
      </c>
      <c r="C472" s="211">
        <v>610</v>
      </c>
      <c r="D472" s="212" t="s">
        <v>123</v>
      </c>
      <c r="E472" s="21">
        <f>№6!F309</f>
        <v>399.1</v>
      </c>
      <c r="F472" s="21">
        <f>№6!G309</f>
        <v>377.1</v>
      </c>
    </row>
    <row r="473" spans="1:6" ht="31.5">
      <c r="A473" s="211" t="s">
        <v>100</v>
      </c>
      <c r="B473" s="201">
        <v>1500000000</v>
      </c>
      <c r="C473" s="211"/>
      <c r="D473" s="212" t="s">
        <v>232</v>
      </c>
      <c r="E473" s="21">
        <f>E474</f>
        <v>25.5</v>
      </c>
      <c r="F473" s="21">
        <f t="shared" ref="F473:F477" si="162">F474</f>
        <v>25.5</v>
      </c>
    </row>
    <row r="474" spans="1:6" ht="31.5">
      <c r="A474" s="211" t="s">
        <v>100</v>
      </c>
      <c r="B474" s="201">
        <v>1520000000</v>
      </c>
      <c r="C474" s="211"/>
      <c r="D474" s="212" t="s">
        <v>224</v>
      </c>
      <c r="E474" s="21">
        <f>E475</f>
        <v>25.5</v>
      </c>
      <c r="F474" s="21">
        <f t="shared" si="162"/>
        <v>25.5</v>
      </c>
    </row>
    <row r="475" spans="1:6" ht="63">
      <c r="A475" s="211" t="s">
        <v>100</v>
      </c>
      <c r="B475" s="211">
        <v>1520100000</v>
      </c>
      <c r="C475" s="211"/>
      <c r="D475" s="212" t="s">
        <v>297</v>
      </c>
      <c r="E475" s="21">
        <f>E476</f>
        <v>25.5</v>
      </c>
      <c r="F475" s="21">
        <f t="shared" si="162"/>
        <v>25.5</v>
      </c>
    </row>
    <row r="476" spans="1:6" ht="31.5">
      <c r="A476" s="211" t="s">
        <v>100</v>
      </c>
      <c r="B476" s="11" t="s">
        <v>359</v>
      </c>
      <c r="C476" s="211"/>
      <c r="D476" s="212" t="s">
        <v>360</v>
      </c>
      <c r="E476" s="21">
        <f>E477</f>
        <v>25.5</v>
      </c>
      <c r="F476" s="21">
        <f t="shared" si="162"/>
        <v>25.5</v>
      </c>
    </row>
    <row r="477" spans="1:6" ht="31.5">
      <c r="A477" s="211" t="s">
        <v>100</v>
      </c>
      <c r="B477" s="11" t="s">
        <v>359</v>
      </c>
      <c r="C477" s="201" t="s">
        <v>109</v>
      </c>
      <c r="D477" s="212" t="s">
        <v>110</v>
      </c>
      <c r="E477" s="21">
        <f>E478</f>
        <v>25.5</v>
      </c>
      <c r="F477" s="21">
        <f t="shared" si="162"/>
        <v>25.5</v>
      </c>
    </row>
    <row r="478" spans="1:6">
      <c r="A478" s="211" t="s">
        <v>100</v>
      </c>
      <c r="B478" s="11" t="s">
        <v>359</v>
      </c>
      <c r="C478" s="211">
        <v>610</v>
      </c>
      <c r="D478" s="212" t="s">
        <v>123</v>
      </c>
      <c r="E478" s="21">
        <v>25.5</v>
      </c>
      <c r="F478" s="21">
        <v>25.5</v>
      </c>
    </row>
    <row r="479" spans="1:6">
      <c r="A479" s="211" t="s">
        <v>100</v>
      </c>
      <c r="B479" s="211">
        <v>9900000000</v>
      </c>
      <c r="C479" s="211"/>
      <c r="D479" s="212" t="s">
        <v>124</v>
      </c>
      <c r="E479" s="21">
        <f>E480</f>
        <v>430</v>
      </c>
      <c r="F479" s="21">
        <f t="shared" ref="F479:F482" si="163">F480</f>
        <v>430</v>
      </c>
    </row>
    <row r="480" spans="1:6" ht="47.25">
      <c r="A480" s="211" t="s">
        <v>100</v>
      </c>
      <c r="B480" s="211">
        <v>9920000000</v>
      </c>
      <c r="C480" s="211"/>
      <c r="D480" s="212" t="s">
        <v>366</v>
      </c>
      <c r="E480" s="21">
        <f>E481</f>
        <v>430</v>
      </c>
      <c r="F480" s="21">
        <f t="shared" si="163"/>
        <v>430</v>
      </c>
    </row>
    <row r="481" spans="1:6" ht="31.5">
      <c r="A481" s="211" t="s">
        <v>100</v>
      </c>
      <c r="B481" s="211">
        <v>9920010920</v>
      </c>
      <c r="C481" s="211"/>
      <c r="D481" s="212" t="s">
        <v>367</v>
      </c>
      <c r="E481" s="21">
        <f>E482</f>
        <v>430</v>
      </c>
      <c r="F481" s="21">
        <f t="shared" si="163"/>
        <v>430</v>
      </c>
    </row>
    <row r="482" spans="1:6" ht="31.5">
      <c r="A482" s="211" t="s">
        <v>100</v>
      </c>
      <c r="B482" s="211">
        <v>9920010920</v>
      </c>
      <c r="C482" s="201" t="s">
        <v>109</v>
      </c>
      <c r="D482" s="212" t="s">
        <v>110</v>
      </c>
      <c r="E482" s="21">
        <f>E483</f>
        <v>430</v>
      </c>
      <c r="F482" s="21">
        <f t="shared" si="163"/>
        <v>430</v>
      </c>
    </row>
    <row r="483" spans="1:6">
      <c r="A483" s="211" t="s">
        <v>100</v>
      </c>
      <c r="B483" s="211">
        <v>9920010920</v>
      </c>
      <c r="C483" s="211">
        <v>610</v>
      </c>
      <c r="D483" s="212" t="s">
        <v>123</v>
      </c>
      <c r="E483" s="21">
        <f>№6!F314</f>
        <v>430</v>
      </c>
      <c r="F483" s="21">
        <f>№6!G314</f>
        <v>430</v>
      </c>
    </row>
    <row r="484" spans="1:6" ht="31.5">
      <c r="A484" s="29" t="s">
        <v>265</v>
      </c>
      <c r="B484" s="211"/>
      <c r="C484" s="211"/>
      <c r="D484" s="367" t="s">
        <v>442</v>
      </c>
      <c r="E484" s="21">
        <f t="shared" ref="E484:F489" si="164">E485</f>
        <v>243.4</v>
      </c>
      <c r="F484" s="21">
        <f t="shared" si="164"/>
        <v>243.4</v>
      </c>
    </row>
    <row r="485" spans="1:6" ht="48.75" customHeight="1">
      <c r="A485" s="29" t="s">
        <v>265</v>
      </c>
      <c r="B485" s="201">
        <v>1600000000</v>
      </c>
      <c r="C485" s="201"/>
      <c r="D485" s="212" t="s">
        <v>133</v>
      </c>
      <c r="E485" s="21">
        <f t="shared" si="164"/>
        <v>243.4</v>
      </c>
      <c r="F485" s="21">
        <f t="shared" si="164"/>
        <v>243.4</v>
      </c>
    </row>
    <row r="486" spans="1:6" ht="31.5" customHeight="1">
      <c r="A486" s="29" t="s">
        <v>265</v>
      </c>
      <c r="B486" s="201">
        <v>1640000000</v>
      </c>
      <c r="C486" s="1"/>
      <c r="D486" s="23" t="s">
        <v>267</v>
      </c>
      <c r="E486" s="21">
        <f t="shared" si="164"/>
        <v>243.4</v>
      </c>
      <c r="F486" s="21">
        <f t="shared" si="164"/>
        <v>243.4</v>
      </c>
    </row>
    <row r="487" spans="1:6" ht="32.450000000000003" customHeight="1">
      <c r="A487" s="29" t="s">
        <v>265</v>
      </c>
      <c r="B487" s="201">
        <v>1640100000</v>
      </c>
      <c r="C487" s="211"/>
      <c r="D487" s="212" t="s">
        <v>269</v>
      </c>
      <c r="E487" s="21">
        <f t="shared" si="164"/>
        <v>243.4</v>
      </c>
      <c r="F487" s="21">
        <f t="shared" si="164"/>
        <v>243.4</v>
      </c>
    </row>
    <row r="488" spans="1:6" ht="19.149999999999999" customHeight="1">
      <c r="A488" s="29" t="s">
        <v>265</v>
      </c>
      <c r="B488" s="201">
        <v>1640120510</v>
      </c>
      <c r="C488" s="211"/>
      <c r="D488" s="212" t="s">
        <v>271</v>
      </c>
      <c r="E488" s="21">
        <f t="shared" si="164"/>
        <v>243.4</v>
      </c>
      <c r="F488" s="21">
        <f t="shared" si="164"/>
        <v>243.4</v>
      </c>
    </row>
    <row r="489" spans="1:6" ht="32.450000000000003" customHeight="1">
      <c r="A489" s="29" t="s">
        <v>265</v>
      </c>
      <c r="B489" s="201">
        <v>1640120510</v>
      </c>
      <c r="C489" s="201" t="s">
        <v>75</v>
      </c>
      <c r="D489" s="212" t="s">
        <v>107</v>
      </c>
      <c r="E489" s="21">
        <f t="shared" si="164"/>
        <v>243.4</v>
      </c>
      <c r="F489" s="21">
        <f t="shared" si="164"/>
        <v>243.4</v>
      </c>
    </row>
    <row r="490" spans="1:6" ht="32.450000000000003" customHeight="1">
      <c r="A490" s="29" t="s">
        <v>265</v>
      </c>
      <c r="B490" s="201">
        <v>1640120510</v>
      </c>
      <c r="C490" s="211">
        <v>240</v>
      </c>
      <c r="D490" s="212" t="s">
        <v>441</v>
      </c>
      <c r="E490" s="21">
        <f>№6!F542+№6!F321</f>
        <v>243.4</v>
      </c>
      <c r="F490" s="21">
        <f>№6!G542+№6!G321</f>
        <v>243.4</v>
      </c>
    </row>
    <row r="491" spans="1:6">
      <c r="A491" s="211" t="s">
        <v>43</v>
      </c>
      <c r="B491" s="211" t="s">
        <v>72</v>
      </c>
      <c r="C491" s="211" t="s">
        <v>72</v>
      </c>
      <c r="D491" s="30" t="s">
        <v>115</v>
      </c>
      <c r="E491" s="28">
        <f>E492+E512</f>
        <v>3604.0999999999995</v>
      </c>
      <c r="F491" s="28">
        <f>F492+F512</f>
        <v>3603.7</v>
      </c>
    </row>
    <row r="492" spans="1:6" ht="31.5">
      <c r="A492" s="211" t="s">
        <v>43</v>
      </c>
      <c r="B492" s="201">
        <v>1100000000</v>
      </c>
      <c r="C492" s="211"/>
      <c r="D492" s="212" t="s">
        <v>236</v>
      </c>
      <c r="E492" s="21">
        <f>E503+E493</f>
        <v>3457.4999999999995</v>
      </c>
      <c r="F492" s="21">
        <f>F503+F493</f>
        <v>3457.1</v>
      </c>
    </row>
    <row r="493" spans="1:6">
      <c r="A493" s="211" t="s">
        <v>43</v>
      </c>
      <c r="B493" s="211">
        <v>1110000000</v>
      </c>
      <c r="C493" s="211"/>
      <c r="D493" s="30" t="s">
        <v>214</v>
      </c>
      <c r="E493" s="21">
        <f>E494</f>
        <v>3367.8999999999996</v>
      </c>
      <c r="F493" s="21">
        <f t="shared" ref="F493:F501" si="165">F494</f>
        <v>3367.5</v>
      </c>
    </row>
    <row r="494" spans="1:6" ht="21.6" customHeight="1">
      <c r="A494" s="211" t="s">
        <v>43</v>
      </c>
      <c r="B494" s="211">
        <v>1110400000</v>
      </c>
      <c r="C494" s="211"/>
      <c r="D494" s="30" t="s">
        <v>225</v>
      </c>
      <c r="E494" s="21">
        <f>E500+E495</f>
        <v>3367.8999999999996</v>
      </c>
      <c r="F494" s="21">
        <f t="shared" ref="F494" si="166">F500+F495</f>
        <v>3367.5</v>
      </c>
    </row>
    <row r="495" spans="1:6" ht="31.5">
      <c r="A495" s="211" t="s">
        <v>43</v>
      </c>
      <c r="B495" s="211">
        <v>1110410240</v>
      </c>
      <c r="C495" s="211"/>
      <c r="D495" s="212" t="s">
        <v>298</v>
      </c>
      <c r="E495" s="21">
        <f>E496+E498</f>
        <v>3209.2</v>
      </c>
      <c r="F495" s="21">
        <f t="shared" ref="F495" si="167">F496+F498</f>
        <v>3208.8</v>
      </c>
    </row>
    <row r="496" spans="1:6">
      <c r="A496" s="211" t="s">
        <v>43</v>
      </c>
      <c r="B496" s="211">
        <v>1110410240</v>
      </c>
      <c r="C496" s="1" t="s">
        <v>79</v>
      </c>
      <c r="D496" s="36" t="s">
        <v>80</v>
      </c>
      <c r="E496" s="21">
        <f>E497</f>
        <v>49.300000000000011</v>
      </c>
      <c r="F496" s="21">
        <f t="shared" ref="F496" si="168">F497</f>
        <v>48.9</v>
      </c>
    </row>
    <row r="497" spans="1:6" ht="31.5">
      <c r="A497" s="211" t="s">
        <v>43</v>
      </c>
      <c r="B497" s="211">
        <v>1110410240</v>
      </c>
      <c r="C497" s="211">
        <v>320</v>
      </c>
      <c r="D497" s="212" t="s">
        <v>121</v>
      </c>
      <c r="E497" s="21">
        <f>№6!F842</f>
        <v>49.300000000000011</v>
      </c>
      <c r="F497" s="21">
        <f>№6!G842</f>
        <v>48.9</v>
      </c>
    </row>
    <row r="498" spans="1:6" ht="31.5">
      <c r="A498" s="211" t="s">
        <v>43</v>
      </c>
      <c r="B498" s="211">
        <v>1110410240</v>
      </c>
      <c r="C498" s="201" t="s">
        <v>109</v>
      </c>
      <c r="D498" s="212" t="s">
        <v>110</v>
      </c>
      <c r="E498" s="21">
        <f>E499</f>
        <v>3159.8999999999996</v>
      </c>
      <c r="F498" s="21">
        <f t="shared" ref="F498" si="169">F499</f>
        <v>3159.9</v>
      </c>
    </row>
    <row r="499" spans="1:6">
      <c r="A499" s="211" t="s">
        <v>43</v>
      </c>
      <c r="B499" s="211">
        <v>1110410240</v>
      </c>
      <c r="C499" s="211">
        <v>610</v>
      </c>
      <c r="D499" s="212" t="s">
        <v>123</v>
      </c>
      <c r="E499" s="21">
        <f>№6!F844+№6!F328</f>
        <v>3159.8999999999996</v>
      </c>
      <c r="F499" s="21">
        <f>№6!G844+№6!G328</f>
        <v>3159.9</v>
      </c>
    </row>
    <row r="500" spans="1:6" ht="31.5">
      <c r="A500" s="211" t="s">
        <v>43</v>
      </c>
      <c r="B500" s="211" t="s">
        <v>227</v>
      </c>
      <c r="C500" s="211"/>
      <c r="D500" s="30" t="s">
        <v>226</v>
      </c>
      <c r="E500" s="21">
        <f>E501</f>
        <v>158.69999999999999</v>
      </c>
      <c r="F500" s="21">
        <f t="shared" si="165"/>
        <v>158.69999999999999</v>
      </c>
    </row>
    <row r="501" spans="1:6">
      <c r="A501" s="211" t="s">
        <v>43</v>
      </c>
      <c r="B501" s="211" t="s">
        <v>227</v>
      </c>
      <c r="C501" s="1" t="s">
        <v>79</v>
      </c>
      <c r="D501" s="2" t="s">
        <v>80</v>
      </c>
      <c r="E501" s="21">
        <f>E502</f>
        <v>158.69999999999999</v>
      </c>
      <c r="F501" s="21">
        <f t="shared" si="165"/>
        <v>158.69999999999999</v>
      </c>
    </row>
    <row r="502" spans="1:6" ht="31.5">
      <c r="A502" s="211" t="s">
        <v>43</v>
      </c>
      <c r="B502" s="211" t="s">
        <v>227</v>
      </c>
      <c r="C502" s="211">
        <v>320</v>
      </c>
      <c r="D502" s="212" t="s">
        <v>121</v>
      </c>
      <c r="E502" s="21">
        <f>№6!F847</f>
        <v>158.69999999999999</v>
      </c>
      <c r="F502" s="21">
        <f>№6!G847</f>
        <v>158.69999999999999</v>
      </c>
    </row>
    <row r="503" spans="1:6" ht="31.5">
      <c r="A503" s="211" t="s">
        <v>43</v>
      </c>
      <c r="B503" s="201">
        <v>1130000000</v>
      </c>
      <c r="C503" s="211"/>
      <c r="D503" s="30" t="s">
        <v>135</v>
      </c>
      <c r="E503" s="21">
        <f>E504+E508</f>
        <v>89.6</v>
      </c>
      <c r="F503" s="21">
        <f t="shared" ref="F503" si="170">F504+F508</f>
        <v>89.6</v>
      </c>
    </row>
    <row r="504" spans="1:6" ht="31.5">
      <c r="A504" s="211" t="s">
        <v>43</v>
      </c>
      <c r="B504" s="211">
        <v>1130200000</v>
      </c>
      <c r="C504" s="211"/>
      <c r="D504" s="30" t="s">
        <v>228</v>
      </c>
      <c r="E504" s="21">
        <f>E505</f>
        <v>22.099999999999998</v>
      </c>
      <c r="F504" s="21">
        <f t="shared" ref="F504:F506" si="171">F505</f>
        <v>22.1</v>
      </c>
    </row>
    <row r="505" spans="1:6" ht="33" customHeight="1">
      <c r="A505" s="211" t="s">
        <v>43</v>
      </c>
      <c r="B505" s="211">
        <v>1130220270</v>
      </c>
      <c r="C505" s="211"/>
      <c r="D505" s="30" t="s">
        <v>229</v>
      </c>
      <c r="E505" s="21">
        <f>E506</f>
        <v>22.099999999999998</v>
      </c>
      <c r="F505" s="21">
        <f t="shared" si="171"/>
        <v>22.1</v>
      </c>
    </row>
    <row r="506" spans="1:6">
      <c r="A506" s="211" t="s">
        <v>43</v>
      </c>
      <c r="B506" s="211">
        <v>1130220270</v>
      </c>
      <c r="C506" s="201" t="s">
        <v>79</v>
      </c>
      <c r="D506" s="212" t="s">
        <v>80</v>
      </c>
      <c r="E506" s="21">
        <f>E507</f>
        <v>22.099999999999998</v>
      </c>
      <c r="F506" s="21">
        <f t="shared" si="171"/>
        <v>22.1</v>
      </c>
    </row>
    <row r="507" spans="1:6">
      <c r="A507" s="211" t="s">
        <v>43</v>
      </c>
      <c r="B507" s="211">
        <v>1130220270</v>
      </c>
      <c r="C507" s="211">
        <v>350</v>
      </c>
      <c r="D507" s="30" t="s">
        <v>194</v>
      </c>
      <c r="E507" s="21">
        <f>№6!F333</f>
        <v>22.099999999999998</v>
      </c>
      <c r="F507" s="21">
        <f>№6!G333</f>
        <v>22.1</v>
      </c>
    </row>
    <row r="508" spans="1:6" ht="31.5">
      <c r="A508" s="211" t="s">
        <v>43</v>
      </c>
      <c r="B508" s="211">
        <v>1130400000</v>
      </c>
      <c r="C508" s="211"/>
      <c r="D508" s="30" t="s">
        <v>172</v>
      </c>
      <c r="E508" s="21">
        <f>E509</f>
        <v>67.5</v>
      </c>
      <c r="F508" s="21">
        <f t="shared" ref="F508:F510" si="172">F509</f>
        <v>67.5</v>
      </c>
    </row>
    <row r="509" spans="1:6" ht="31.5">
      <c r="A509" s="211" t="s">
        <v>43</v>
      </c>
      <c r="B509" s="211">
        <v>1130420290</v>
      </c>
      <c r="C509" s="211"/>
      <c r="D509" s="30" t="s">
        <v>173</v>
      </c>
      <c r="E509" s="21">
        <f>E510</f>
        <v>67.5</v>
      </c>
      <c r="F509" s="21">
        <f t="shared" si="172"/>
        <v>67.5</v>
      </c>
    </row>
    <row r="510" spans="1:6" ht="31.5">
      <c r="A510" s="211" t="s">
        <v>43</v>
      </c>
      <c r="B510" s="211">
        <v>1130420290</v>
      </c>
      <c r="C510" s="201" t="s">
        <v>109</v>
      </c>
      <c r="D510" s="212" t="s">
        <v>110</v>
      </c>
      <c r="E510" s="21">
        <f>E511</f>
        <v>67.5</v>
      </c>
      <c r="F510" s="21">
        <f t="shared" si="172"/>
        <v>67.5</v>
      </c>
    </row>
    <row r="511" spans="1:6">
      <c r="A511" s="211" t="s">
        <v>43</v>
      </c>
      <c r="B511" s="211">
        <v>1130420290</v>
      </c>
      <c r="C511" s="211">
        <v>610</v>
      </c>
      <c r="D511" s="212" t="s">
        <v>123</v>
      </c>
      <c r="E511" s="21">
        <f>№6!F337</f>
        <v>67.5</v>
      </c>
      <c r="F511" s="21">
        <f>№6!G337</f>
        <v>67.5</v>
      </c>
    </row>
    <row r="512" spans="1:6" ht="47.25">
      <c r="A512" s="211" t="s">
        <v>43</v>
      </c>
      <c r="B512" s="201">
        <v>1200000000</v>
      </c>
      <c r="C512" s="211"/>
      <c r="D512" s="30" t="s">
        <v>231</v>
      </c>
      <c r="E512" s="21">
        <f>E513</f>
        <v>146.6</v>
      </c>
      <c r="F512" s="21">
        <f t="shared" ref="F512:F513" si="173">F513</f>
        <v>146.6</v>
      </c>
    </row>
    <row r="513" spans="1:6" ht="31.5">
      <c r="A513" s="211" t="s">
        <v>43</v>
      </c>
      <c r="B513" s="201">
        <v>1240000000</v>
      </c>
      <c r="C513" s="11"/>
      <c r="D513" s="30" t="s">
        <v>162</v>
      </c>
      <c r="E513" s="21">
        <f>E514</f>
        <v>146.6</v>
      </c>
      <c r="F513" s="21">
        <f t="shared" si="173"/>
        <v>146.6</v>
      </c>
    </row>
    <row r="514" spans="1:6" ht="16.5" customHeight="1">
      <c r="A514" s="211" t="s">
        <v>43</v>
      </c>
      <c r="B514" s="11" t="s">
        <v>164</v>
      </c>
      <c r="C514" s="11"/>
      <c r="D514" s="30" t="s">
        <v>163</v>
      </c>
      <c r="E514" s="21">
        <f>E518+E521+E524+E515</f>
        <v>146.6</v>
      </c>
      <c r="F514" s="21">
        <f t="shared" ref="F514" si="174">F518+F521+F524+F515</f>
        <v>146.6</v>
      </c>
    </row>
    <row r="515" spans="1:6">
      <c r="A515" s="3" t="s">
        <v>43</v>
      </c>
      <c r="B515" s="11" t="s">
        <v>264</v>
      </c>
      <c r="C515" s="13"/>
      <c r="D515" s="30" t="s">
        <v>176</v>
      </c>
      <c r="E515" s="21">
        <f>E516</f>
        <v>74.3</v>
      </c>
      <c r="F515" s="21">
        <f t="shared" ref="F515:F516" si="175">F516</f>
        <v>74.3</v>
      </c>
    </row>
    <row r="516" spans="1:6" ht="31.5">
      <c r="A516" s="3" t="s">
        <v>43</v>
      </c>
      <c r="B516" s="11" t="s">
        <v>264</v>
      </c>
      <c r="C516" s="201" t="s">
        <v>109</v>
      </c>
      <c r="D516" s="212" t="s">
        <v>110</v>
      </c>
      <c r="E516" s="21">
        <f>E517</f>
        <v>74.3</v>
      </c>
      <c r="F516" s="21">
        <f t="shared" si="175"/>
        <v>74.3</v>
      </c>
    </row>
    <row r="517" spans="1:6">
      <c r="A517" s="3" t="s">
        <v>43</v>
      </c>
      <c r="B517" s="11" t="s">
        <v>264</v>
      </c>
      <c r="C517" s="211">
        <v>610</v>
      </c>
      <c r="D517" s="212" t="s">
        <v>123</v>
      </c>
      <c r="E517" s="21">
        <f>№6!F343</f>
        <v>74.3</v>
      </c>
      <c r="F517" s="21">
        <f>№6!G343</f>
        <v>74.3</v>
      </c>
    </row>
    <row r="518" spans="1:6" ht="17.25" customHeight="1">
      <c r="A518" s="211" t="s">
        <v>43</v>
      </c>
      <c r="B518" s="11" t="s">
        <v>166</v>
      </c>
      <c r="C518" s="11"/>
      <c r="D518" s="30" t="s">
        <v>165</v>
      </c>
      <c r="E518" s="21">
        <f>E519</f>
        <v>22.3</v>
      </c>
      <c r="F518" s="21">
        <f t="shared" ref="F518:F519" si="176">F519</f>
        <v>22.3</v>
      </c>
    </row>
    <row r="519" spans="1:6" ht="31.5">
      <c r="A519" s="211" t="s">
        <v>43</v>
      </c>
      <c r="B519" s="11" t="s">
        <v>166</v>
      </c>
      <c r="C519" s="201" t="s">
        <v>75</v>
      </c>
      <c r="D519" s="212" t="s">
        <v>107</v>
      </c>
      <c r="E519" s="21">
        <f>E520</f>
        <v>22.3</v>
      </c>
      <c r="F519" s="21">
        <f t="shared" si="176"/>
        <v>22.3</v>
      </c>
    </row>
    <row r="520" spans="1:6" ht="33" customHeight="1">
      <c r="A520" s="211" t="s">
        <v>43</v>
      </c>
      <c r="B520" s="11" t="s">
        <v>166</v>
      </c>
      <c r="C520" s="211">
        <v>240</v>
      </c>
      <c r="D520" s="212" t="s">
        <v>441</v>
      </c>
      <c r="E520" s="21">
        <f>№6!F658</f>
        <v>22.3</v>
      </c>
      <c r="F520" s="21">
        <f>№6!G658</f>
        <v>22.3</v>
      </c>
    </row>
    <row r="521" spans="1:6" ht="31.5">
      <c r="A521" s="211" t="s">
        <v>43</v>
      </c>
      <c r="B521" s="11" t="s">
        <v>168</v>
      </c>
      <c r="C521" s="11"/>
      <c r="D521" s="30" t="s">
        <v>167</v>
      </c>
      <c r="E521" s="21">
        <f>E522</f>
        <v>14</v>
      </c>
      <c r="F521" s="21">
        <f t="shared" ref="F521:F522" si="177">F522</f>
        <v>14</v>
      </c>
    </row>
    <row r="522" spans="1:6" ht="31.5">
      <c r="A522" s="211" t="s">
        <v>43</v>
      </c>
      <c r="B522" s="11" t="s">
        <v>168</v>
      </c>
      <c r="C522" s="201" t="s">
        <v>75</v>
      </c>
      <c r="D522" s="212" t="s">
        <v>107</v>
      </c>
      <c r="E522" s="21">
        <f>E523</f>
        <v>14</v>
      </c>
      <c r="F522" s="21">
        <f t="shared" si="177"/>
        <v>14</v>
      </c>
    </row>
    <row r="523" spans="1:6" ht="30.75" customHeight="1">
      <c r="A523" s="211" t="s">
        <v>43</v>
      </c>
      <c r="B523" s="11" t="s">
        <v>168</v>
      </c>
      <c r="C523" s="211">
        <v>240</v>
      </c>
      <c r="D523" s="212" t="s">
        <v>441</v>
      </c>
      <c r="E523" s="21">
        <f>№6!F346</f>
        <v>14</v>
      </c>
      <c r="F523" s="21">
        <f>№6!G346</f>
        <v>14</v>
      </c>
    </row>
    <row r="524" spans="1:6">
      <c r="A524" s="211" t="s">
        <v>43</v>
      </c>
      <c r="B524" s="11" t="s">
        <v>266</v>
      </c>
      <c r="C524" s="11"/>
      <c r="D524" s="30" t="s">
        <v>169</v>
      </c>
      <c r="E524" s="21">
        <f>E525</f>
        <v>36</v>
      </c>
      <c r="F524" s="21">
        <f t="shared" ref="F524:F525" si="178">F525</f>
        <v>36</v>
      </c>
    </row>
    <row r="525" spans="1:6">
      <c r="A525" s="211" t="s">
        <v>43</v>
      </c>
      <c r="B525" s="11" t="s">
        <v>266</v>
      </c>
      <c r="C525" s="201" t="s">
        <v>79</v>
      </c>
      <c r="D525" s="212" t="s">
        <v>80</v>
      </c>
      <c r="E525" s="21">
        <f>E526</f>
        <v>36</v>
      </c>
      <c r="F525" s="21">
        <f t="shared" si="178"/>
        <v>36</v>
      </c>
    </row>
    <row r="526" spans="1:6">
      <c r="A526" s="211" t="s">
        <v>43</v>
      </c>
      <c r="B526" s="11" t="s">
        <v>266</v>
      </c>
      <c r="C526" s="11" t="s">
        <v>170</v>
      </c>
      <c r="D526" s="30" t="s">
        <v>171</v>
      </c>
      <c r="E526" s="21">
        <f>№6!F661+№6!F349</f>
        <v>36</v>
      </c>
      <c r="F526" s="21">
        <f>№6!G661+№6!G349</f>
        <v>36</v>
      </c>
    </row>
    <row r="527" spans="1:6">
      <c r="A527" s="211" t="s">
        <v>58</v>
      </c>
      <c r="B527" s="211" t="s">
        <v>72</v>
      </c>
      <c r="C527" s="211" t="s">
        <v>72</v>
      </c>
      <c r="D527" s="30" t="s">
        <v>16</v>
      </c>
      <c r="E527" s="21">
        <f>E528+E540</f>
        <v>7646.2</v>
      </c>
      <c r="F527" s="21">
        <f>F528+F540</f>
        <v>7646.2</v>
      </c>
    </row>
    <row r="528" spans="1:6" ht="31.5">
      <c r="A528" s="211" t="s">
        <v>58</v>
      </c>
      <c r="B528" s="201">
        <v>1100000000</v>
      </c>
      <c r="C528" s="211"/>
      <c r="D528" s="212" t="s">
        <v>236</v>
      </c>
      <c r="E528" s="21">
        <f>E529</f>
        <v>302</v>
      </c>
      <c r="F528" s="21">
        <f t="shared" ref="F528:F538" si="179">F529</f>
        <v>302</v>
      </c>
    </row>
    <row r="529" spans="1:6" ht="31.5">
      <c r="A529" s="211" t="s">
        <v>58</v>
      </c>
      <c r="B529" s="201">
        <v>1130000000</v>
      </c>
      <c r="C529" s="30"/>
      <c r="D529" s="30" t="s">
        <v>135</v>
      </c>
      <c r="E529" s="21">
        <f>E536+E530</f>
        <v>302</v>
      </c>
      <c r="F529" s="21">
        <f>F536+F530</f>
        <v>302</v>
      </c>
    </row>
    <row r="530" spans="1:6" ht="31.5">
      <c r="A530" s="211" t="s">
        <v>58</v>
      </c>
      <c r="B530" s="211">
        <v>1130100000</v>
      </c>
      <c r="C530" s="30"/>
      <c r="D530" s="30" t="s">
        <v>281</v>
      </c>
      <c r="E530" s="21">
        <f>E531</f>
        <v>169.19999999999996</v>
      </c>
      <c r="F530" s="21">
        <f t="shared" ref="F530:F532" si="180">F531</f>
        <v>169.2</v>
      </c>
    </row>
    <row r="531" spans="1:6" ht="31.5">
      <c r="A531" s="211" t="s">
        <v>58</v>
      </c>
      <c r="B531" s="201">
        <v>1130120260</v>
      </c>
      <c r="C531" s="30"/>
      <c r="D531" s="30" t="s">
        <v>283</v>
      </c>
      <c r="E531" s="21">
        <f>E532+E534</f>
        <v>169.19999999999996</v>
      </c>
      <c r="F531" s="21">
        <f t="shared" ref="F531" si="181">F532+F534</f>
        <v>169.2</v>
      </c>
    </row>
    <row r="532" spans="1:6" ht="31.5">
      <c r="A532" s="211" t="s">
        <v>58</v>
      </c>
      <c r="B532" s="201">
        <v>1130120260</v>
      </c>
      <c r="C532" s="211" t="s">
        <v>75</v>
      </c>
      <c r="D532" s="30" t="s">
        <v>107</v>
      </c>
      <c r="E532" s="21">
        <f>E533</f>
        <v>122.29999999999997</v>
      </c>
      <c r="F532" s="21">
        <f t="shared" si="180"/>
        <v>122.3</v>
      </c>
    </row>
    <row r="533" spans="1:6" ht="31.15" customHeight="1">
      <c r="A533" s="211" t="s">
        <v>58</v>
      </c>
      <c r="B533" s="201">
        <v>1130120260</v>
      </c>
      <c r="C533" s="211">
        <v>240</v>
      </c>
      <c r="D533" s="212" t="s">
        <v>441</v>
      </c>
      <c r="E533" s="21">
        <f>№6!F854</f>
        <v>122.29999999999997</v>
      </c>
      <c r="F533" s="21">
        <f>№6!G854</f>
        <v>122.3</v>
      </c>
    </row>
    <row r="534" spans="1:6" ht="16.5" customHeight="1">
      <c r="A534" s="211" t="s">
        <v>58</v>
      </c>
      <c r="B534" s="201">
        <v>1130120260</v>
      </c>
      <c r="C534" s="1" t="s">
        <v>79</v>
      </c>
      <c r="D534" s="36" t="s">
        <v>80</v>
      </c>
      <c r="E534" s="21">
        <f>E535</f>
        <v>46.9</v>
      </c>
      <c r="F534" s="21">
        <f t="shared" ref="F534" si="182">F535</f>
        <v>46.9</v>
      </c>
    </row>
    <row r="535" spans="1:6" ht="15" customHeight="1">
      <c r="A535" s="211" t="s">
        <v>58</v>
      </c>
      <c r="B535" s="201">
        <v>1130120260</v>
      </c>
      <c r="C535" s="211">
        <v>350</v>
      </c>
      <c r="D535" s="212" t="s">
        <v>194</v>
      </c>
      <c r="E535" s="21">
        <f>№6!F856</f>
        <v>46.9</v>
      </c>
      <c r="F535" s="21">
        <f>№6!G856</f>
        <v>46.9</v>
      </c>
    </row>
    <row r="536" spans="1:6" ht="31.5">
      <c r="A536" s="211" t="s">
        <v>58</v>
      </c>
      <c r="B536" s="211">
        <v>1130200000</v>
      </c>
      <c r="C536" s="211"/>
      <c r="D536" s="30" t="s">
        <v>228</v>
      </c>
      <c r="E536" s="21">
        <f>E537</f>
        <v>132.80000000000001</v>
      </c>
      <c r="F536" s="21">
        <f t="shared" si="179"/>
        <v>132.80000000000001</v>
      </c>
    </row>
    <row r="537" spans="1:6" ht="31.5">
      <c r="A537" s="211" t="s">
        <v>58</v>
      </c>
      <c r="B537" s="211">
        <v>1130220270</v>
      </c>
      <c r="C537" s="211"/>
      <c r="D537" s="30" t="s">
        <v>229</v>
      </c>
      <c r="E537" s="21">
        <f>E538</f>
        <v>132.80000000000001</v>
      </c>
      <c r="F537" s="21">
        <f t="shared" si="179"/>
        <v>132.80000000000001</v>
      </c>
    </row>
    <row r="538" spans="1:6" ht="31.5">
      <c r="A538" s="211" t="s">
        <v>58</v>
      </c>
      <c r="B538" s="211">
        <v>1130220270</v>
      </c>
      <c r="C538" s="211" t="s">
        <v>75</v>
      </c>
      <c r="D538" s="30" t="s">
        <v>107</v>
      </c>
      <c r="E538" s="21">
        <f>E539</f>
        <v>132.80000000000001</v>
      </c>
      <c r="F538" s="21">
        <f t="shared" si="179"/>
        <v>132.80000000000001</v>
      </c>
    </row>
    <row r="539" spans="1:6" ht="34.9" customHeight="1">
      <c r="A539" s="211" t="s">
        <v>58</v>
      </c>
      <c r="B539" s="211">
        <v>1130220270</v>
      </c>
      <c r="C539" s="211">
        <v>240</v>
      </c>
      <c r="D539" s="212" t="s">
        <v>441</v>
      </c>
      <c r="E539" s="21">
        <f>№6!F860</f>
        <v>132.80000000000001</v>
      </c>
      <c r="F539" s="21">
        <f>№6!G860</f>
        <v>132.80000000000001</v>
      </c>
    </row>
    <row r="540" spans="1:6">
      <c r="A540" s="211" t="s">
        <v>58</v>
      </c>
      <c r="B540" s="211">
        <v>9900000000</v>
      </c>
      <c r="C540" s="211"/>
      <c r="D540" s="30" t="s">
        <v>124</v>
      </c>
      <c r="E540" s="21">
        <f>E541</f>
        <v>7344.2</v>
      </c>
      <c r="F540" s="21">
        <f t="shared" ref="F540" si="183">F541</f>
        <v>7344.2</v>
      </c>
    </row>
    <row r="541" spans="1:6" ht="31.5">
      <c r="A541" s="211" t="s">
        <v>58</v>
      </c>
      <c r="B541" s="211">
        <v>9990000000</v>
      </c>
      <c r="C541" s="211"/>
      <c r="D541" s="30" t="s">
        <v>189</v>
      </c>
      <c r="E541" s="21">
        <f>E542+E548</f>
        <v>7344.2</v>
      </c>
      <c r="F541" s="21">
        <f t="shared" ref="F541" si="184">F542+F548</f>
        <v>7344.2</v>
      </c>
    </row>
    <row r="542" spans="1:6" ht="31.5">
      <c r="A542" s="211" t="s">
        <v>58</v>
      </c>
      <c r="B542" s="211">
        <v>9990200000</v>
      </c>
      <c r="C542" s="30"/>
      <c r="D542" s="30" t="s">
        <v>138</v>
      </c>
      <c r="E542" s="21">
        <f>E543</f>
        <v>5084.2</v>
      </c>
      <c r="F542" s="21">
        <f t="shared" ref="F542:F544" si="185">F543</f>
        <v>5084.2</v>
      </c>
    </row>
    <row r="543" spans="1:6" ht="47.25">
      <c r="A543" s="211" t="s">
        <v>58</v>
      </c>
      <c r="B543" s="211">
        <v>9990225000</v>
      </c>
      <c r="C543" s="211"/>
      <c r="D543" s="30" t="s">
        <v>139</v>
      </c>
      <c r="E543" s="21">
        <f>E544+E546</f>
        <v>5084.2</v>
      </c>
      <c r="F543" s="21">
        <f t="shared" ref="F543" si="186">F544+F546</f>
        <v>5084.2</v>
      </c>
    </row>
    <row r="544" spans="1:6" ht="63">
      <c r="A544" s="211" t="s">
        <v>58</v>
      </c>
      <c r="B544" s="211">
        <v>9990225000</v>
      </c>
      <c r="C544" s="211" t="s">
        <v>74</v>
      </c>
      <c r="D544" s="30" t="s">
        <v>2</v>
      </c>
      <c r="E544" s="21">
        <f>E545</f>
        <v>5011.3999999999996</v>
      </c>
      <c r="F544" s="21">
        <f t="shared" si="185"/>
        <v>5011.3999999999996</v>
      </c>
    </row>
    <row r="545" spans="1:6" ht="34.9" customHeight="1">
      <c r="A545" s="211" t="s">
        <v>58</v>
      </c>
      <c r="B545" s="211">
        <v>9990225000</v>
      </c>
      <c r="C545" s="211">
        <v>120</v>
      </c>
      <c r="D545" s="30" t="s">
        <v>443</v>
      </c>
      <c r="E545" s="21">
        <f>№6!F866</f>
        <v>5011.3999999999996</v>
      </c>
      <c r="F545" s="21">
        <f>№6!G866</f>
        <v>5011.3999999999996</v>
      </c>
    </row>
    <row r="546" spans="1:6" ht="17.25" customHeight="1">
      <c r="A546" s="211" t="s">
        <v>58</v>
      </c>
      <c r="B546" s="211">
        <v>9990225000</v>
      </c>
      <c r="C546" s="211">
        <v>300</v>
      </c>
      <c r="D546" s="212" t="s">
        <v>80</v>
      </c>
      <c r="E546" s="21">
        <f>E547</f>
        <v>72.8</v>
      </c>
      <c r="F546" s="21">
        <f t="shared" ref="F546" si="187">F547</f>
        <v>72.8</v>
      </c>
    </row>
    <row r="547" spans="1:6" ht="31.5" customHeight="1">
      <c r="A547" s="211" t="s">
        <v>58</v>
      </c>
      <c r="B547" s="211">
        <v>9990225000</v>
      </c>
      <c r="C547" s="211">
        <v>320</v>
      </c>
      <c r="D547" s="212" t="s">
        <v>121</v>
      </c>
      <c r="E547" s="21">
        <f>№6!F868</f>
        <v>72.8</v>
      </c>
      <c r="F547" s="21">
        <f>№6!G868</f>
        <v>72.8</v>
      </c>
    </row>
    <row r="548" spans="1:6" ht="31.5">
      <c r="A548" s="211" t="s">
        <v>58</v>
      </c>
      <c r="B548" s="211">
        <v>9990300000</v>
      </c>
      <c r="C548" s="211"/>
      <c r="D548" s="30" t="s">
        <v>204</v>
      </c>
      <c r="E548" s="21">
        <f>E549+E551+E553</f>
        <v>2260</v>
      </c>
      <c r="F548" s="21">
        <f>F549+F551+F553</f>
        <v>2260</v>
      </c>
    </row>
    <row r="549" spans="1:6" ht="63">
      <c r="A549" s="211" t="s">
        <v>58</v>
      </c>
      <c r="B549" s="211">
        <v>9990300000</v>
      </c>
      <c r="C549" s="211" t="s">
        <v>74</v>
      </c>
      <c r="D549" s="30" t="s">
        <v>2</v>
      </c>
      <c r="E549" s="21">
        <f>E550</f>
        <v>1649.8</v>
      </c>
      <c r="F549" s="21">
        <f t="shared" ref="F549" si="188">F550</f>
        <v>1649.8</v>
      </c>
    </row>
    <row r="550" spans="1:6">
      <c r="A550" s="211" t="s">
        <v>58</v>
      </c>
      <c r="B550" s="211">
        <v>9990300000</v>
      </c>
      <c r="C550" s="211">
        <v>110</v>
      </c>
      <c r="D550" s="23" t="s">
        <v>205</v>
      </c>
      <c r="E550" s="21">
        <f>№6!F871</f>
        <v>1649.8</v>
      </c>
      <c r="F550" s="21">
        <f>№6!G871</f>
        <v>1649.8</v>
      </c>
    </row>
    <row r="551" spans="1:6" ht="31.5">
      <c r="A551" s="211" t="s">
        <v>58</v>
      </c>
      <c r="B551" s="211">
        <v>9990300000</v>
      </c>
      <c r="C551" s="211" t="s">
        <v>75</v>
      </c>
      <c r="D551" s="30" t="s">
        <v>107</v>
      </c>
      <c r="E551" s="21">
        <f>E552</f>
        <v>586</v>
      </c>
      <c r="F551" s="21">
        <f t="shared" ref="F551" si="189">F552</f>
        <v>586</v>
      </c>
    </row>
    <row r="552" spans="1:6" ht="33.6" customHeight="1">
      <c r="A552" s="211" t="s">
        <v>58</v>
      </c>
      <c r="B552" s="211">
        <v>9990300000</v>
      </c>
      <c r="C552" s="211">
        <v>240</v>
      </c>
      <c r="D552" s="212" t="s">
        <v>441</v>
      </c>
      <c r="E552" s="21">
        <f>№6!F873</f>
        <v>586</v>
      </c>
      <c r="F552" s="21">
        <f>№6!G873</f>
        <v>586</v>
      </c>
    </row>
    <row r="553" spans="1:6">
      <c r="A553" s="211" t="s">
        <v>58</v>
      </c>
      <c r="B553" s="211">
        <v>9990300000</v>
      </c>
      <c r="C553" s="211" t="s">
        <v>76</v>
      </c>
      <c r="D553" s="30" t="s">
        <v>77</v>
      </c>
      <c r="E553" s="21">
        <f>E554</f>
        <v>24.200000000000003</v>
      </c>
      <c r="F553" s="21">
        <f t="shared" ref="F553" si="190">F554</f>
        <v>24.2</v>
      </c>
    </row>
    <row r="554" spans="1:6">
      <c r="A554" s="211" t="s">
        <v>58</v>
      </c>
      <c r="B554" s="211">
        <v>9990300000</v>
      </c>
      <c r="C554" s="211">
        <v>850</v>
      </c>
      <c r="D554" s="30" t="s">
        <v>119</v>
      </c>
      <c r="E554" s="21">
        <f>№6!F875</f>
        <v>24.200000000000003</v>
      </c>
      <c r="F554" s="21">
        <f>№6!G875</f>
        <v>24.2</v>
      </c>
    </row>
    <row r="555" spans="1:6">
      <c r="A555" s="19" t="s">
        <v>46</v>
      </c>
      <c r="B555" s="19" t="s">
        <v>72</v>
      </c>
      <c r="C555" s="19" t="s">
        <v>72</v>
      </c>
      <c r="D555" s="26" t="s">
        <v>88</v>
      </c>
      <c r="E555" s="366">
        <f>E556</f>
        <v>38286.5</v>
      </c>
      <c r="F555" s="366">
        <f t="shared" ref="F555" si="191">F556</f>
        <v>38286.5</v>
      </c>
    </row>
    <row r="556" spans="1:6">
      <c r="A556" s="211" t="s">
        <v>47</v>
      </c>
      <c r="B556" s="211" t="s">
        <v>72</v>
      </c>
      <c r="C556" s="211" t="s">
        <v>72</v>
      </c>
      <c r="D556" s="367" t="s">
        <v>17</v>
      </c>
      <c r="E556" s="21">
        <f>E557+E603</f>
        <v>38286.5</v>
      </c>
      <c r="F556" s="21">
        <f>F557+F603</f>
        <v>38286.5</v>
      </c>
    </row>
    <row r="557" spans="1:6" ht="47.25">
      <c r="A557" s="211" t="s">
        <v>47</v>
      </c>
      <c r="B557" s="201">
        <v>1200000000</v>
      </c>
      <c r="C557" s="211"/>
      <c r="D557" s="30" t="s">
        <v>231</v>
      </c>
      <c r="E557" s="21">
        <f>E558+E576</f>
        <v>38086.5</v>
      </c>
      <c r="F557" s="21">
        <f>F558+F576</f>
        <v>38086.5</v>
      </c>
    </row>
    <row r="558" spans="1:6">
      <c r="A558" s="211" t="s">
        <v>47</v>
      </c>
      <c r="B558" s="201">
        <v>1210000000</v>
      </c>
      <c r="C558" s="211"/>
      <c r="D558" s="30" t="s">
        <v>247</v>
      </c>
      <c r="E558" s="21">
        <f>E559+E569</f>
        <v>13560.7</v>
      </c>
      <c r="F558" s="21">
        <f>F559+F569</f>
        <v>13560.7</v>
      </c>
    </row>
    <row r="559" spans="1:6" ht="31.5">
      <c r="A559" s="211" t="s">
        <v>47</v>
      </c>
      <c r="B559" s="201">
        <v>1210100000</v>
      </c>
      <c r="C559" s="211"/>
      <c r="D559" s="30" t="s">
        <v>248</v>
      </c>
      <c r="E559" s="21">
        <f>E563+E560+E566</f>
        <v>13453</v>
      </c>
      <c r="F559" s="21">
        <f t="shared" ref="F559" si="192">F563+F560+F566</f>
        <v>13453</v>
      </c>
    </row>
    <row r="560" spans="1:6" ht="47.25">
      <c r="A560" s="211" t="s">
        <v>47</v>
      </c>
      <c r="B560" s="201">
        <v>1210110680</v>
      </c>
      <c r="C560" s="211"/>
      <c r="D560" s="370" t="s">
        <v>310</v>
      </c>
      <c r="E560" s="28">
        <f>E561</f>
        <v>3865.3999999999996</v>
      </c>
      <c r="F560" s="28">
        <f t="shared" ref="F560:F561" si="193">F561</f>
        <v>3865.4</v>
      </c>
    </row>
    <row r="561" spans="1:6" ht="31.5">
      <c r="A561" s="211" t="s">
        <v>47</v>
      </c>
      <c r="B561" s="201">
        <v>1210110680</v>
      </c>
      <c r="C561" s="201" t="s">
        <v>109</v>
      </c>
      <c r="D561" s="212" t="s">
        <v>110</v>
      </c>
      <c r="E561" s="28">
        <f>E562</f>
        <v>3865.3999999999996</v>
      </c>
      <c r="F561" s="28">
        <f t="shared" si="193"/>
        <v>3865.4</v>
      </c>
    </row>
    <row r="562" spans="1:6">
      <c r="A562" s="211" t="s">
        <v>47</v>
      </c>
      <c r="B562" s="201">
        <v>1210110680</v>
      </c>
      <c r="C562" s="211">
        <v>610</v>
      </c>
      <c r="D562" s="212" t="s">
        <v>123</v>
      </c>
      <c r="E562" s="28">
        <f>№6!F357</f>
        <v>3865.3999999999996</v>
      </c>
      <c r="F562" s="28">
        <f>№6!G357</f>
        <v>3865.4</v>
      </c>
    </row>
    <row r="563" spans="1:6" ht="31.5">
      <c r="A563" s="211" t="s">
        <v>47</v>
      </c>
      <c r="B563" s="201">
        <v>1210120010</v>
      </c>
      <c r="C563" s="211"/>
      <c r="D563" s="30" t="s">
        <v>144</v>
      </c>
      <c r="E563" s="21">
        <f>E564</f>
        <v>9548.9</v>
      </c>
      <c r="F563" s="21">
        <f t="shared" ref="F563:F564" si="194">F564</f>
        <v>9548.9</v>
      </c>
    </row>
    <row r="564" spans="1:6" ht="31.5">
      <c r="A564" s="211" t="s">
        <v>47</v>
      </c>
      <c r="B564" s="201">
        <v>1210120010</v>
      </c>
      <c r="C564" s="201" t="s">
        <v>109</v>
      </c>
      <c r="D564" s="212" t="s">
        <v>110</v>
      </c>
      <c r="E564" s="21">
        <f>E565</f>
        <v>9548.9</v>
      </c>
      <c r="F564" s="21">
        <f t="shared" si="194"/>
        <v>9548.9</v>
      </c>
    </row>
    <row r="565" spans="1:6">
      <c r="A565" s="211" t="s">
        <v>47</v>
      </c>
      <c r="B565" s="201">
        <v>1210120010</v>
      </c>
      <c r="C565" s="211">
        <v>610</v>
      </c>
      <c r="D565" s="212" t="s">
        <v>123</v>
      </c>
      <c r="E565" s="21">
        <f>№6!F360</f>
        <v>9548.9</v>
      </c>
      <c r="F565" s="21">
        <f>№6!G360</f>
        <v>9548.9</v>
      </c>
    </row>
    <row r="566" spans="1:6" ht="30.75" customHeight="1">
      <c r="A566" s="211" t="s">
        <v>47</v>
      </c>
      <c r="B566" s="201" t="s">
        <v>300</v>
      </c>
      <c r="C566" s="211"/>
      <c r="D566" s="370" t="s">
        <v>309</v>
      </c>
      <c r="E566" s="28">
        <f>E567</f>
        <v>38.700000000000003</v>
      </c>
      <c r="F566" s="28">
        <f t="shared" ref="F566:F567" si="195">F567</f>
        <v>38.700000000000003</v>
      </c>
    </row>
    <row r="567" spans="1:6" ht="31.5">
      <c r="A567" s="211" t="s">
        <v>47</v>
      </c>
      <c r="B567" s="201" t="s">
        <v>300</v>
      </c>
      <c r="C567" s="201" t="s">
        <v>109</v>
      </c>
      <c r="D567" s="212" t="s">
        <v>110</v>
      </c>
      <c r="E567" s="28">
        <f>E568</f>
        <v>38.700000000000003</v>
      </c>
      <c r="F567" s="28">
        <f t="shared" si="195"/>
        <v>38.700000000000003</v>
      </c>
    </row>
    <row r="568" spans="1:6">
      <c r="A568" s="211" t="s">
        <v>47</v>
      </c>
      <c r="B568" s="201" t="s">
        <v>300</v>
      </c>
      <c r="C568" s="211">
        <v>610</v>
      </c>
      <c r="D568" s="212" t="s">
        <v>123</v>
      </c>
      <c r="E568" s="28">
        <f>№6!F363</f>
        <v>38.700000000000003</v>
      </c>
      <c r="F568" s="28">
        <f>№6!G363</f>
        <v>38.700000000000003</v>
      </c>
    </row>
    <row r="569" spans="1:6" ht="31.5">
      <c r="A569" s="211" t="s">
        <v>47</v>
      </c>
      <c r="B569" s="201">
        <v>1210300000</v>
      </c>
      <c r="C569" s="211"/>
      <c r="D569" s="30" t="s">
        <v>249</v>
      </c>
      <c r="E569" s="21">
        <f>E573+E570</f>
        <v>107.7</v>
      </c>
      <c r="F569" s="21">
        <f>F573+F570</f>
        <v>107.7</v>
      </c>
    </row>
    <row r="570" spans="1:6">
      <c r="A570" s="211" t="s">
        <v>47</v>
      </c>
      <c r="B570" s="201">
        <v>1210320010</v>
      </c>
      <c r="C570" s="211"/>
      <c r="D570" s="212" t="s">
        <v>472</v>
      </c>
      <c r="E570" s="21">
        <f>E571</f>
        <v>75</v>
      </c>
      <c r="F570" s="21">
        <f t="shared" ref="F570:F571" si="196">F571</f>
        <v>75</v>
      </c>
    </row>
    <row r="571" spans="1:6" ht="31.5">
      <c r="A571" s="211" t="s">
        <v>47</v>
      </c>
      <c r="B571" s="201">
        <v>1210320010</v>
      </c>
      <c r="C571" s="201" t="s">
        <v>109</v>
      </c>
      <c r="D571" s="212" t="s">
        <v>110</v>
      </c>
      <c r="E571" s="21">
        <f>E572</f>
        <v>75</v>
      </c>
      <c r="F571" s="21">
        <f t="shared" si="196"/>
        <v>75</v>
      </c>
    </row>
    <row r="572" spans="1:6">
      <c r="A572" s="211" t="s">
        <v>47</v>
      </c>
      <c r="B572" s="201">
        <v>1210320010</v>
      </c>
      <c r="C572" s="211">
        <v>610</v>
      </c>
      <c r="D572" s="212" t="s">
        <v>123</v>
      </c>
      <c r="E572" s="21">
        <f>№6!F367</f>
        <v>75</v>
      </c>
      <c r="F572" s="21">
        <f>№6!G367</f>
        <v>75</v>
      </c>
    </row>
    <row r="573" spans="1:6" ht="31.5">
      <c r="A573" s="211" t="s">
        <v>47</v>
      </c>
      <c r="B573" s="201">
        <v>1210320030</v>
      </c>
      <c r="C573" s="211"/>
      <c r="D573" s="212" t="s">
        <v>280</v>
      </c>
      <c r="E573" s="21">
        <f>E574</f>
        <v>32.700000000000003</v>
      </c>
      <c r="F573" s="21">
        <f t="shared" ref="F573:F574" si="197">F574</f>
        <v>32.700000000000003</v>
      </c>
    </row>
    <row r="574" spans="1:6" ht="31.5">
      <c r="A574" s="211" t="s">
        <v>47</v>
      </c>
      <c r="B574" s="201">
        <v>1210320030</v>
      </c>
      <c r="C574" s="201" t="s">
        <v>109</v>
      </c>
      <c r="D574" s="212" t="s">
        <v>110</v>
      </c>
      <c r="E574" s="21">
        <f>E575</f>
        <v>32.700000000000003</v>
      </c>
      <c r="F574" s="21">
        <f t="shared" si="197"/>
        <v>32.700000000000003</v>
      </c>
    </row>
    <row r="575" spans="1:6">
      <c r="A575" s="211" t="s">
        <v>47</v>
      </c>
      <c r="B575" s="201">
        <v>1210320030</v>
      </c>
      <c r="C575" s="211">
        <v>610</v>
      </c>
      <c r="D575" s="212" t="s">
        <v>123</v>
      </c>
      <c r="E575" s="21">
        <f>№6!F370</f>
        <v>32.700000000000003</v>
      </c>
      <c r="F575" s="21">
        <f>№6!G370</f>
        <v>32.700000000000003</v>
      </c>
    </row>
    <row r="576" spans="1:6" ht="31.5">
      <c r="A576" s="211" t="s">
        <v>47</v>
      </c>
      <c r="B576" s="201">
        <v>1220000000</v>
      </c>
      <c r="C576" s="211"/>
      <c r="D576" s="30" t="s">
        <v>174</v>
      </c>
      <c r="E576" s="21">
        <f>E577+E595+E599+E591+E587</f>
        <v>24525.799999999996</v>
      </c>
      <c r="F576" s="21">
        <f t="shared" ref="F576" si="198">F577+F595+F599+F591+F587</f>
        <v>24525.8</v>
      </c>
    </row>
    <row r="577" spans="1:6" ht="32.25" customHeight="1">
      <c r="A577" s="211" t="s">
        <v>47</v>
      </c>
      <c r="B577" s="211">
        <v>1220100000</v>
      </c>
      <c r="C577" s="211"/>
      <c r="D577" s="30" t="s">
        <v>250</v>
      </c>
      <c r="E577" s="21">
        <f>E581+E578+E584</f>
        <v>24343.799999999996</v>
      </c>
      <c r="F577" s="21">
        <f t="shared" ref="F577" si="199">F581+F578+F584</f>
        <v>24343.8</v>
      </c>
    </row>
    <row r="578" spans="1:6" ht="47.25">
      <c r="A578" s="211" t="s">
        <v>47</v>
      </c>
      <c r="B578" s="211">
        <v>1220110680</v>
      </c>
      <c r="C578" s="211"/>
      <c r="D578" s="370" t="s">
        <v>310</v>
      </c>
      <c r="E578" s="28">
        <f>E579</f>
        <v>5057.3</v>
      </c>
      <c r="F578" s="28">
        <f t="shared" ref="F578:F579" si="200">F579</f>
        <v>5057.3</v>
      </c>
    </row>
    <row r="579" spans="1:6" ht="31.5">
      <c r="A579" s="211" t="s">
        <v>47</v>
      </c>
      <c r="B579" s="211">
        <v>1220110680</v>
      </c>
      <c r="C579" s="201" t="s">
        <v>109</v>
      </c>
      <c r="D579" s="212" t="s">
        <v>110</v>
      </c>
      <c r="E579" s="28">
        <f>E580</f>
        <v>5057.3</v>
      </c>
      <c r="F579" s="28">
        <f t="shared" si="200"/>
        <v>5057.3</v>
      </c>
    </row>
    <row r="580" spans="1:6">
      <c r="A580" s="211" t="s">
        <v>47</v>
      </c>
      <c r="B580" s="211">
        <v>1220110680</v>
      </c>
      <c r="C580" s="211">
        <v>610</v>
      </c>
      <c r="D580" s="212" t="s">
        <v>123</v>
      </c>
      <c r="E580" s="28">
        <f>№6!F375</f>
        <v>5057.3</v>
      </c>
      <c r="F580" s="28">
        <f>№6!G375</f>
        <v>5057.3</v>
      </c>
    </row>
    <row r="581" spans="1:6" ht="31.5">
      <c r="A581" s="211" t="s">
        <v>47</v>
      </c>
      <c r="B581" s="211">
        <v>1220120010</v>
      </c>
      <c r="C581" s="211"/>
      <c r="D581" s="30" t="s">
        <v>144</v>
      </c>
      <c r="E581" s="21">
        <f>E582</f>
        <v>19235.899999999998</v>
      </c>
      <c r="F581" s="21">
        <f t="shared" ref="F581:F582" si="201">F582</f>
        <v>19235.900000000001</v>
      </c>
    </row>
    <row r="582" spans="1:6" ht="31.5">
      <c r="A582" s="211" t="s">
        <v>47</v>
      </c>
      <c r="B582" s="211">
        <v>1220120010</v>
      </c>
      <c r="C582" s="201" t="s">
        <v>109</v>
      </c>
      <c r="D582" s="212" t="s">
        <v>110</v>
      </c>
      <c r="E582" s="21">
        <f>E583</f>
        <v>19235.899999999998</v>
      </c>
      <c r="F582" s="21">
        <f t="shared" si="201"/>
        <v>19235.900000000001</v>
      </c>
    </row>
    <row r="583" spans="1:6">
      <c r="A583" s="211" t="s">
        <v>47</v>
      </c>
      <c r="B583" s="211">
        <v>1220120010</v>
      </c>
      <c r="C583" s="211">
        <v>610</v>
      </c>
      <c r="D583" s="212" t="s">
        <v>123</v>
      </c>
      <c r="E583" s="21">
        <f>№6!F378</f>
        <v>19235.899999999998</v>
      </c>
      <c r="F583" s="21">
        <f>№6!G378</f>
        <v>19235.900000000001</v>
      </c>
    </row>
    <row r="584" spans="1:6" ht="30.75" customHeight="1">
      <c r="A584" s="211" t="s">
        <v>47</v>
      </c>
      <c r="B584" s="211" t="s">
        <v>301</v>
      </c>
      <c r="C584" s="211"/>
      <c r="D584" s="370" t="s">
        <v>309</v>
      </c>
      <c r="E584" s="21">
        <f>E585</f>
        <v>50.599999999999994</v>
      </c>
      <c r="F584" s="21">
        <f t="shared" ref="F584:F585" si="202">F585</f>
        <v>50.6</v>
      </c>
    </row>
    <row r="585" spans="1:6" ht="31.5">
      <c r="A585" s="211" t="s">
        <v>47</v>
      </c>
      <c r="B585" s="211" t="s">
        <v>301</v>
      </c>
      <c r="C585" s="201" t="s">
        <v>109</v>
      </c>
      <c r="D585" s="212" t="s">
        <v>110</v>
      </c>
      <c r="E585" s="21">
        <f>E586</f>
        <v>50.599999999999994</v>
      </c>
      <c r="F585" s="21">
        <f t="shared" si="202"/>
        <v>50.6</v>
      </c>
    </row>
    <row r="586" spans="1:6">
      <c r="A586" s="211" t="s">
        <v>47</v>
      </c>
      <c r="B586" s="211" t="s">
        <v>301</v>
      </c>
      <c r="C586" s="211">
        <v>610</v>
      </c>
      <c r="D586" s="212" t="s">
        <v>123</v>
      </c>
      <c r="E586" s="21">
        <f>№6!F381</f>
        <v>50.599999999999994</v>
      </c>
      <c r="F586" s="21">
        <f>№6!G381</f>
        <v>50.6</v>
      </c>
    </row>
    <row r="587" spans="1:6" ht="47.25">
      <c r="A587" s="211" t="s">
        <v>47</v>
      </c>
      <c r="B587" s="211">
        <v>1220200000</v>
      </c>
      <c r="C587" s="211"/>
      <c r="D587" s="212" t="s">
        <v>467</v>
      </c>
      <c r="E587" s="21">
        <f>E588</f>
        <v>96.8</v>
      </c>
      <c r="F587" s="21">
        <f t="shared" ref="F587:F589" si="203">F588</f>
        <v>96.8</v>
      </c>
    </row>
    <row r="588" spans="1:6">
      <c r="A588" s="211" t="s">
        <v>47</v>
      </c>
      <c r="B588" s="211">
        <v>1220220020</v>
      </c>
      <c r="C588" s="211"/>
      <c r="D588" s="212" t="s">
        <v>324</v>
      </c>
      <c r="E588" s="21">
        <f>E589</f>
        <v>96.8</v>
      </c>
      <c r="F588" s="21">
        <f t="shared" si="203"/>
        <v>96.8</v>
      </c>
    </row>
    <row r="589" spans="1:6" ht="31.5">
      <c r="A589" s="211" t="s">
        <v>47</v>
      </c>
      <c r="B589" s="211">
        <v>1220220020</v>
      </c>
      <c r="C589" s="201" t="s">
        <v>109</v>
      </c>
      <c r="D589" s="212" t="s">
        <v>110</v>
      </c>
      <c r="E589" s="21">
        <f>E590</f>
        <v>96.8</v>
      </c>
      <c r="F589" s="21">
        <f t="shared" si="203"/>
        <v>96.8</v>
      </c>
    </row>
    <row r="590" spans="1:6">
      <c r="A590" s="211" t="s">
        <v>47</v>
      </c>
      <c r="B590" s="211">
        <v>1220220020</v>
      </c>
      <c r="C590" s="211">
        <v>610</v>
      </c>
      <c r="D590" s="212" t="s">
        <v>123</v>
      </c>
      <c r="E590" s="21">
        <f>№6!F385</f>
        <v>96.8</v>
      </c>
      <c r="F590" s="21">
        <f>№6!G385</f>
        <v>96.8</v>
      </c>
    </row>
    <row r="591" spans="1:6" ht="47.25">
      <c r="A591" s="211" t="s">
        <v>47</v>
      </c>
      <c r="B591" s="211">
        <v>1220300000</v>
      </c>
      <c r="C591" s="211"/>
      <c r="D591" s="212" t="s">
        <v>320</v>
      </c>
      <c r="E591" s="21">
        <f>E592</f>
        <v>36</v>
      </c>
      <c r="F591" s="21">
        <f t="shared" ref="F591:F593" si="204">F592</f>
        <v>36</v>
      </c>
    </row>
    <row r="592" spans="1:6" ht="31.5">
      <c r="A592" s="211" t="s">
        <v>47</v>
      </c>
      <c r="B592" s="211">
        <v>1220320030</v>
      </c>
      <c r="C592" s="211"/>
      <c r="D592" s="212" t="s">
        <v>280</v>
      </c>
      <c r="E592" s="21">
        <f>E593</f>
        <v>36</v>
      </c>
      <c r="F592" s="21">
        <f t="shared" si="204"/>
        <v>36</v>
      </c>
    </row>
    <row r="593" spans="1:6" ht="31.5">
      <c r="A593" s="211" t="s">
        <v>47</v>
      </c>
      <c r="B593" s="211">
        <v>1220320030</v>
      </c>
      <c r="C593" s="201" t="s">
        <v>109</v>
      </c>
      <c r="D593" s="212" t="s">
        <v>110</v>
      </c>
      <c r="E593" s="21">
        <f>E594</f>
        <v>36</v>
      </c>
      <c r="F593" s="21">
        <f t="shared" si="204"/>
        <v>36</v>
      </c>
    </row>
    <row r="594" spans="1:6">
      <c r="A594" s="211" t="s">
        <v>47</v>
      </c>
      <c r="B594" s="211">
        <v>1220320030</v>
      </c>
      <c r="C594" s="211">
        <v>610</v>
      </c>
      <c r="D594" s="212" t="s">
        <v>123</v>
      </c>
      <c r="E594" s="21">
        <f>№6!F389</f>
        <v>36</v>
      </c>
      <c r="F594" s="21">
        <f>№6!G389</f>
        <v>36</v>
      </c>
    </row>
    <row r="595" spans="1:6" ht="31.5">
      <c r="A595" s="211" t="s">
        <v>47</v>
      </c>
      <c r="B595" s="211">
        <v>1220400000</v>
      </c>
      <c r="C595" s="211"/>
      <c r="D595" s="30" t="s">
        <v>251</v>
      </c>
      <c r="E595" s="21">
        <f>E596</f>
        <v>16</v>
      </c>
      <c r="F595" s="21">
        <f t="shared" ref="F595:F597" si="205">F596</f>
        <v>16</v>
      </c>
    </row>
    <row r="596" spans="1:6" ht="31.5">
      <c r="A596" s="211" t="s">
        <v>47</v>
      </c>
      <c r="B596" s="211">
        <v>1220420450</v>
      </c>
      <c r="C596" s="211"/>
      <c r="D596" s="30" t="s">
        <v>175</v>
      </c>
      <c r="E596" s="21">
        <f>E597</f>
        <v>16</v>
      </c>
      <c r="F596" s="21">
        <f t="shared" si="205"/>
        <v>16</v>
      </c>
    </row>
    <row r="597" spans="1:6" ht="31.5">
      <c r="A597" s="211" t="s">
        <v>47</v>
      </c>
      <c r="B597" s="211">
        <v>1220420450</v>
      </c>
      <c r="C597" s="201" t="s">
        <v>75</v>
      </c>
      <c r="D597" s="212" t="s">
        <v>107</v>
      </c>
      <c r="E597" s="21">
        <f>E598</f>
        <v>16</v>
      </c>
      <c r="F597" s="21">
        <f t="shared" si="205"/>
        <v>16</v>
      </c>
    </row>
    <row r="598" spans="1:6" ht="31.15" customHeight="1">
      <c r="A598" s="211" t="s">
        <v>47</v>
      </c>
      <c r="B598" s="211">
        <v>1220420450</v>
      </c>
      <c r="C598" s="211">
        <v>240</v>
      </c>
      <c r="D598" s="212" t="s">
        <v>441</v>
      </c>
      <c r="E598" s="21">
        <f>№6!F393</f>
        <v>16</v>
      </c>
      <c r="F598" s="21">
        <f>№6!G393</f>
        <v>16</v>
      </c>
    </row>
    <row r="599" spans="1:6" ht="31.5">
      <c r="A599" s="211" t="s">
        <v>47</v>
      </c>
      <c r="B599" s="211">
        <v>1220500000</v>
      </c>
      <c r="C599" s="211"/>
      <c r="D599" s="30" t="s">
        <v>252</v>
      </c>
      <c r="E599" s="21">
        <f>E600</f>
        <v>33.200000000000003</v>
      </c>
      <c r="F599" s="21">
        <f t="shared" ref="F599:F601" si="206">F600</f>
        <v>33.200000000000003</v>
      </c>
    </row>
    <row r="600" spans="1:6">
      <c r="A600" s="211" t="s">
        <v>47</v>
      </c>
      <c r="B600" s="211">
        <v>1220520320</v>
      </c>
      <c r="C600" s="211"/>
      <c r="D600" s="30" t="s">
        <v>176</v>
      </c>
      <c r="E600" s="21">
        <f>E601</f>
        <v>33.200000000000003</v>
      </c>
      <c r="F600" s="21">
        <f t="shared" si="206"/>
        <v>33.200000000000003</v>
      </c>
    </row>
    <row r="601" spans="1:6" ht="31.5">
      <c r="A601" s="211" t="s">
        <v>47</v>
      </c>
      <c r="B601" s="211">
        <v>1220520320</v>
      </c>
      <c r="C601" s="201" t="s">
        <v>109</v>
      </c>
      <c r="D601" s="212" t="s">
        <v>110</v>
      </c>
      <c r="E601" s="21">
        <f>E602</f>
        <v>33.200000000000003</v>
      </c>
      <c r="F601" s="21">
        <f t="shared" si="206"/>
        <v>33.200000000000003</v>
      </c>
    </row>
    <row r="602" spans="1:6">
      <c r="A602" s="211" t="s">
        <v>47</v>
      </c>
      <c r="B602" s="211">
        <v>1220520320</v>
      </c>
      <c r="C602" s="211">
        <v>610</v>
      </c>
      <c r="D602" s="212" t="s">
        <v>123</v>
      </c>
      <c r="E602" s="21">
        <f>№6!F397</f>
        <v>33.200000000000003</v>
      </c>
      <c r="F602" s="21">
        <f>№6!G397</f>
        <v>33.200000000000003</v>
      </c>
    </row>
    <row r="603" spans="1:6">
      <c r="A603" s="211" t="s">
        <v>47</v>
      </c>
      <c r="B603" s="211">
        <v>9900000000</v>
      </c>
      <c r="C603" s="211"/>
      <c r="D603" s="212" t="s">
        <v>124</v>
      </c>
      <c r="E603" s="21">
        <f>E604</f>
        <v>200</v>
      </c>
      <c r="F603" s="21">
        <f t="shared" ref="F603:F606" si="207">F604</f>
        <v>200</v>
      </c>
    </row>
    <row r="604" spans="1:6" ht="47.25">
      <c r="A604" s="211" t="s">
        <v>47</v>
      </c>
      <c r="B604" s="211">
        <v>9920000000</v>
      </c>
      <c r="C604" s="211"/>
      <c r="D604" s="212" t="s">
        <v>366</v>
      </c>
      <c r="E604" s="21">
        <f>E605</f>
        <v>200</v>
      </c>
      <c r="F604" s="21">
        <f t="shared" si="207"/>
        <v>200</v>
      </c>
    </row>
    <row r="605" spans="1:6" ht="31.5">
      <c r="A605" s="211" t="s">
        <v>47</v>
      </c>
      <c r="B605" s="211">
        <v>9920010920</v>
      </c>
      <c r="C605" s="211"/>
      <c r="D605" s="212" t="s">
        <v>367</v>
      </c>
      <c r="E605" s="21">
        <f>E606</f>
        <v>200</v>
      </c>
      <c r="F605" s="21">
        <f t="shared" si="207"/>
        <v>200</v>
      </c>
    </row>
    <row r="606" spans="1:6" ht="31.5">
      <c r="A606" s="211" t="s">
        <v>47</v>
      </c>
      <c r="B606" s="211">
        <v>9920010920</v>
      </c>
      <c r="C606" s="201" t="s">
        <v>109</v>
      </c>
      <c r="D606" s="212" t="s">
        <v>110</v>
      </c>
      <c r="E606" s="21">
        <f>E607</f>
        <v>200</v>
      </c>
      <c r="F606" s="21">
        <f t="shared" si="207"/>
        <v>200</v>
      </c>
    </row>
    <row r="607" spans="1:6">
      <c r="A607" s="211" t="s">
        <v>47</v>
      </c>
      <c r="B607" s="211">
        <v>9920010920</v>
      </c>
      <c r="C607" s="211">
        <v>610</v>
      </c>
      <c r="D607" s="212" t="s">
        <v>123</v>
      </c>
      <c r="E607" s="21">
        <f>№6!F402</f>
        <v>200</v>
      </c>
      <c r="F607" s="21">
        <f>№6!G402</f>
        <v>200</v>
      </c>
    </row>
    <row r="608" spans="1:6">
      <c r="A608" s="19" t="s">
        <v>44</v>
      </c>
      <c r="B608" s="19" t="s">
        <v>72</v>
      </c>
      <c r="C608" s="19" t="s">
        <v>72</v>
      </c>
      <c r="D608" s="26" t="s">
        <v>36</v>
      </c>
      <c r="E608" s="366">
        <f>E609+E618+E648</f>
        <v>39306.699999999997</v>
      </c>
      <c r="F608" s="366">
        <f>F609+F618+F648</f>
        <v>39283.399999999994</v>
      </c>
    </row>
    <row r="609" spans="1:6">
      <c r="A609" s="211" t="s">
        <v>59</v>
      </c>
      <c r="B609" s="211" t="s">
        <v>72</v>
      </c>
      <c r="C609" s="211" t="s">
        <v>72</v>
      </c>
      <c r="D609" s="367" t="s">
        <v>37</v>
      </c>
      <c r="E609" s="21">
        <f>E610</f>
        <v>1270.7</v>
      </c>
      <c r="F609" s="21">
        <f t="shared" ref="F609:F612" si="208">F610</f>
        <v>1270.7</v>
      </c>
    </row>
    <row r="610" spans="1:6" ht="47.25">
      <c r="A610" s="211" t="s">
        <v>59</v>
      </c>
      <c r="B610" s="201">
        <v>1200000000</v>
      </c>
      <c r="C610" s="211"/>
      <c r="D610" s="30" t="s">
        <v>231</v>
      </c>
      <c r="E610" s="21">
        <f>E611</f>
        <v>1270.7</v>
      </c>
      <c r="F610" s="21">
        <f t="shared" si="208"/>
        <v>1270.7</v>
      </c>
    </row>
    <row r="611" spans="1:6" ht="31.5">
      <c r="A611" s="211" t="s">
        <v>59</v>
      </c>
      <c r="B611" s="201">
        <v>1240000000</v>
      </c>
      <c r="C611" s="211"/>
      <c r="D611" s="30" t="s">
        <v>162</v>
      </c>
      <c r="E611" s="21">
        <f>E612</f>
        <v>1270.7</v>
      </c>
      <c r="F611" s="21">
        <f t="shared" si="208"/>
        <v>1270.7</v>
      </c>
    </row>
    <row r="612" spans="1:6" ht="25.15" customHeight="1">
      <c r="A612" s="211" t="s">
        <v>59</v>
      </c>
      <c r="B612" s="211">
        <v>1240400000</v>
      </c>
      <c r="C612" s="211"/>
      <c r="D612" s="30" t="s">
        <v>253</v>
      </c>
      <c r="E612" s="21">
        <f>E613</f>
        <v>1270.7</v>
      </c>
      <c r="F612" s="21">
        <f t="shared" si="208"/>
        <v>1270.7</v>
      </c>
    </row>
    <row r="613" spans="1:6" ht="47.25">
      <c r="A613" s="211" t="s">
        <v>59</v>
      </c>
      <c r="B613" s="211">
        <v>1240420390</v>
      </c>
      <c r="C613" s="211"/>
      <c r="D613" s="30" t="s">
        <v>73</v>
      </c>
      <c r="E613" s="21">
        <f>E614+E616</f>
        <v>1270.7</v>
      </c>
      <c r="F613" s="21">
        <f t="shared" ref="F613" si="209">F614+F616</f>
        <v>1270.7</v>
      </c>
    </row>
    <row r="614" spans="1:6" ht="31.5">
      <c r="A614" s="211" t="s">
        <v>59</v>
      </c>
      <c r="B614" s="211">
        <v>1240420390</v>
      </c>
      <c r="C614" s="201" t="s">
        <v>75</v>
      </c>
      <c r="D614" s="212" t="s">
        <v>107</v>
      </c>
      <c r="E614" s="21">
        <f>E615</f>
        <v>7.3</v>
      </c>
      <c r="F614" s="21">
        <f t="shared" ref="F614" si="210">F615</f>
        <v>7.3</v>
      </c>
    </row>
    <row r="615" spans="1:6" ht="32.450000000000003" customHeight="1">
      <c r="A615" s="211" t="s">
        <v>59</v>
      </c>
      <c r="B615" s="211">
        <v>1240420390</v>
      </c>
      <c r="C615" s="211">
        <v>240</v>
      </c>
      <c r="D615" s="212" t="s">
        <v>441</v>
      </c>
      <c r="E615" s="21">
        <f>№6!F410</f>
        <v>7.3</v>
      </c>
      <c r="F615" s="21">
        <f>№6!G410</f>
        <v>7.3</v>
      </c>
    </row>
    <row r="616" spans="1:6">
      <c r="A616" s="211" t="s">
        <v>59</v>
      </c>
      <c r="B616" s="211">
        <v>1240420390</v>
      </c>
      <c r="C616" s="201" t="s">
        <v>79</v>
      </c>
      <c r="D616" s="212" t="s">
        <v>80</v>
      </c>
      <c r="E616" s="21">
        <f>E617</f>
        <v>1263.4000000000001</v>
      </c>
      <c r="F616" s="21">
        <f t="shared" ref="F616" si="211">F617</f>
        <v>1263.4000000000001</v>
      </c>
    </row>
    <row r="617" spans="1:6" ht="18" customHeight="1">
      <c r="A617" s="211" t="s">
        <v>59</v>
      </c>
      <c r="B617" s="211">
        <v>1240420390</v>
      </c>
      <c r="C617" s="201" t="s">
        <v>177</v>
      </c>
      <c r="D617" s="212" t="s">
        <v>178</v>
      </c>
      <c r="E617" s="21">
        <f>№6!F412</f>
        <v>1263.4000000000001</v>
      </c>
      <c r="F617" s="21">
        <f>№6!G412</f>
        <v>1263.4000000000001</v>
      </c>
    </row>
    <row r="618" spans="1:6">
      <c r="A618" s="211" t="s">
        <v>45</v>
      </c>
      <c r="B618" s="211" t="s">
        <v>72</v>
      </c>
      <c r="C618" s="211" t="s">
        <v>72</v>
      </c>
      <c r="D618" s="30" t="s">
        <v>39</v>
      </c>
      <c r="E618" s="21">
        <f>E619+E638</f>
        <v>16584.900000000001</v>
      </c>
      <c r="F618" s="21">
        <f t="shared" ref="F618" si="212">F619+F638</f>
        <v>16561.599999999999</v>
      </c>
    </row>
    <row r="619" spans="1:6" ht="47.25">
      <c r="A619" s="211" t="s">
        <v>45</v>
      </c>
      <c r="B619" s="201">
        <v>1200000000</v>
      </c>
      <c r="C619" s="211"/>
      <c r="D619" s="30" t="s">
        <v>231</v>
      </c>
      <c r="E619" s="21">
        <f>E620</f>
        <v>10275.6</v>
      </c>
      <c r="F619" s="21">
        <f t="shared" ref="F619:F621" si="213">F620</f>
        <v>10275.6</v>
      </c>
    </row>
    <row r="620" spans="1:6" ht="31.5">
      <c r="A620" s="211" t="s">
        <v>45</v>
      </c>
      <c r="B620" s="201">
        <v>1240000000</v>
      </c>
      <c r="C620" s="211"/>
      <c r="D620" s="30" t="s">
        <v>162</v>
      </c>
      <c r="E620" s="21">
        <f>E621+E625+E631</f>
        <v>10275.6</v>
      </c>
      <c r="F620" s="21">
        <f t="shared" ref="F620" si="214">F621+F625+F631</f>
        <v>10275.6</v>
      </c>
    </row>
    <row r="621" spans="1:6" ht="31.5">
      <c r="A621" s="211" t="s">
        <v>45</v>
      </c>
      <c r="B621" s="201">
        <v>1240100000</v>
      </c>
      <c r="C621" s="211"/>
      <c r="D621" s="30" t="s">
        <v>254</v>
      </c>
      <c r="E621" s="21">
        <f>E622</f>
        <v>385</v>
      </c>
      <c r="F621" s="21">
        <f t="shared" si="213"/>
        <v>385</v>
      </c>
    </row>
    <row r="622" spans="1:6" ht="31.5">
      <c r="A622" s="211" t="s">
        <v>45</v>
      </c>
      <c r="B622" s="201">
        <v>1240120330</v>
      </c>
      <c r="C622" s="211"/>
      <c r="D622" s="30" t="s">
        <v>180</v>
      </c>
      <c r="E622" s="21">
        <f>E623</f>
        <v>385</v>
      </c>
      <c r="F622" s="21">
        <f t="shared" ref="F622:F623" si="215">F623</f>
        <v>385</v>
      </c>
    </row>
    <row r="623" spans="1:6" ht="31.5">
      <c r="A623" s="211" t="s">
        <v>45</v>
      </c>
      <c r="B623" s="201">
        <v>1240120330</v>
      </c>
      <c r="C623" s="201" t="s">
        <v>109</v>
      </c>
      <c r="D623" s="212" t="s">
        <v>110</v>
      </c>
      <c r="E623" s="21">
        <f>E624</f>
        <v>385</v>
      </c>
      <c r="F623" s="21">
        <f t="shared" si="215"/>
        <v>385</v>
      </c>
    </row>
    <row r="624" spans="1:6" ht="31.5">
      <c r="A624" s="211" t="s">
        <v>45</v>
      </c>
      <c r="B624" s="201">
        <v>1240120330</v>
      </c>
      <c r="C624" s="211">
        <v>630</v>
      </c>
      <c r="D624" s="30" t="s">
        <v>181</v>
      </c>
      <c r="E624" s="21">
        <f>№6!F419</f>
        <v>385</v>
      </c>
      <c r="F624" s="21">
        <f>№6!G419</f>
        <v>385</v>
      </c>
    </row>
    <row r="625" spans="1:6" ht="30" customHeight="1">
      <c r="A625" s="211" t="s">
        <v>45</v>
      </c>
      <c r="B625" s="201">
        <v>1240200000</v>
      </c>
      <c r="C625" s="211"/>
      <c r="D625" s="30" t="s">
        <v>182</v>
      </c>
      <c r="E625" s="21">
        <f>E626</f>
        <v>102.1</v>
      </c>
      <c r="F625" s="21">
        <f t="shared" ref="F625" si="216">F626</f>
        <v>102.1</v>
      </c>
    </row>
    <row r="626" spans="1:6" ht="31.5">
      <c r="A626" s="211" t="s">
        <v>45</v>
      </c>
      <c r="B626" s="201">
        <v>1240220350</v>
      </c>
      <c r="C626" s="211"/>
      <c r="D626" s="30" t="s">
        <v>255</v>
      </c>
      <c r="E626" s="21">
        <f>E627+E629</f>
        <v>102.1</v>
      </c>
      <c r="F626" s="21">
        <f t="shared" ref="F626" si="217">F627+F629</f>
        <v>102.1</v>
      </c>
    </row>
    <row r="627" spans="1:6" ht="31.5">
      <c r="A627" s="211" t="s">
        <v>45</v>
      </c>
      <c r="B627" s="201">
        <v>1240220350</v>
      </c>
      <c r="C627" s="201" t="s">
        <v>75</v>
      </c>
      <c r="D627" s="212" t="s">
        <v>107</v>
      </c>
      <c r="E627" s="21">
        <f>E628</f>
        <v>1.1000000000000001</v>
      </c>
      <c r="F627" s="21">
        <f t="shared" ref="F627" si="218">F628</f>
        <v>1.1000000000000001</v>
      </c>
    </row>
    <row r="628" spans="1:6" ht="37.9" customHeight="1">
      <c r="A628" s="211" t="s">
        <v>45</v>
      </c>
      <c r="B628" s="201">
        <v>1240220350</v>
      </c>
      <c r="C628" s="211">
        <v>240</v>
      </c>
      <c r="D628" s="212" t="s">
        <v>441</v>
      </c>
      <c r="E628" s="21">
        <f>№6!F423</f>
        <v>1.1000000000000001</v>
      </c>
      <c r="F628" s="21">
        <f>№6!G423</f>
        <v>1.1000000000000001</v>
      </c>
    </row>
    <row r="629" spans="1:6">
      <c r="A629" s="211" t="s">
        <v>45</v>
      </c>
      <c r="B629" s="201">
        <v>1240220350</v>
      </c>
      <c r="C629" s="211" t="s">
        <v>79</v>
      </c>
      <c r="D629" s="30" t="s">
        <v>80</v>
      </c>
      <c r="E629" s="21">
        <f>E630</f>
        <v>101</v>
      </c>
      <c r="F629" s="21">
        <f t="shared" ref="F629" si="219">F630</f>
        <v>101</v>
      </c>
    </row>
    <row r="630" spans="1:6" ht="27" customHeight="1">
      <c r="A630" s="211" t="s">
        <v>45</v>
      </c>
      <c r="B630" s="201">
        <v>1240220350</v>
      </c>
      <c r="C630" s="211" t="s">
        <v>177</v>
      </c>
      <c r="D630" s="30" t="s">
        <v>178</v>
      </c>
      <c r="E630" s="21">
        <f>№6!F425</f>
        <v>101</v>
      </c>
      <c r="F630" s="21">
        <f>№6!G425</f>
        <v>101</v>
      </c>
    </row>
    <row r="631" spans="1:6" ht="16.899999999999999" customHeight="1">
      <c r="A631" s="211" t="s">
        <v>45</v>
      </c>
      <c r="B631" s="211">
        <v>1240400000</v>
      </c>
      <c r="C631" s="211"/>
      <c r="D631" s="30" t="s">
        <v>253</v>
      </c>
      <c r="E631" s="21">
        <f>E632+E635</f>
        <v>9788.5</v>
      </c>
      <c r="F631" s="21">
        <f t="shared" ref="F631" si="220">F632+F635</f>
        <v>9788.5</v>
      </c>
    </row>
    <row r="632" spans="1:6" ht="31.5">
      <c r="A632" s="211" t="s">
        <v>45</v>
      </c>
      <c r="B632" s="211">
        <v>1240420380</v>
      </c>
      <c r="C632" s="211"/>
      <c r="D632" s="30" t="s">
        <v>179</v>
      </c>
      <c r="E632" s="21">
        <f>E633</f>
        <v>217</v>
      </c>
      <c r="F632" s="21">
        <f t="shared" ref="F632:F633" si="221">F633</f>
        <v>217</v>
      </c>
    </row>
    <row r="633" spans="1:6">
      <c r="A633" s="211" t="s">
        <v>45</v>
      </c>
      <c r="B633" s="211">
        <v>1240420380</v>
      </c>
      <c r="C633" s="201" t="s">
        <v>79</v>
      </c>
      <c r="D633" s="212" t="s">
        <v>80</v>
      </c>
      <c r="E633" s="21">
        <f>E634</f>
        <v>217</v>
      </c>
      <c r="F633" s="21">
        <f t="shared" si="221"/>
        <v>217</v>
      </c>
    </row>
    <row r="634" spans="1:6" ht="31.5">
      <c r="A634" s="211" t="s">
        <v>45</v>
      </c>
      <c r="B634" s="211">
        <v>1240420380</v>
      </c>
      <c r="C634" s="201" t="s">
        <v>120</v>
      </c>
      <c r="D634" s="212" t="s">
        <v>121</v>
      </c>
      <c r="E634" s="21">
        <f>№6!F429</f>
        <v>217</v>
      </c>
      <c r="F634" s="21">
        <f>№6!G429</f>
        <v>217</v>
      </c>
    </row>
    <row r="635" spans="1:6">
      <c r="A635" s="211" t="s">
        <v>45</v>
      </c>
      <c r="B635" s="211" t="s">
        <v>340</v>
      </c>
      <c r="C635" s="211"/>
      <c r="D635" s="212" t="s">
        <v>339</v>
      </c>
      <c r="E635" s="21">
        <f>E636</f>
        <v>9571.5</v>
      </c>
      <c r="F635" s="21">
        <f t="shared" ref="F635:F636" si="222">F636</f>
        <v>9571.5</v>
      </c>
    </row>
    <row r="636" spans="1:6">
      <c r="A636" s="211" t="s">
        <v>45</v>
      </c>
      <c r="B636" s="211" t="s">
        <v>340</v>
      </c>
      <c r="C636" s="1" t="s">
        <v>79</v>
      </c>
      <c r="D636" s="36" t="s">
        <v>80</v>
      </c>
      <c r="E636" s="21">
        <f>E637</f>
        <v>9571.5</v>
      </c>
      <c r="F636" s="21">
        <f t="shared" si="222"/>
        <v>9571.5</v>
      </c>
    </row>
    <row r="637" spans="1:6" ht="31.5">
      <c r="A637" s="211" t="s">
        <v>45</v>
      </c>
      <c r="B637" s="211" t="s">
        <v>340</v>
      </c>
      <c r="C637" s="1" t="s">
        <v>120</v>
      </c>
      <c r="D637" s="36" t="s">
        <v>121</v>
      </c>
      <c r="E637" s="21">
        <f>№6!F432</f>
        <v>9571.5</v>
      </c>
      <c r="F637" s="21">
        <f>№6!G432</f>
        <v>9571.5</v>
      </c>
    </row>
    <row r="638" spans="1:6">
      <c r="A638" s="211" t="s">
        <v>45</v>
      </c>
      <c r="B638" s="211" t="s">
        <v>72</v>
      </c>
      <c r="C638" s="211" t="s">
        <v>72</v>
      </c>
      <c r="D638" s="212" t="s">
        <v>39</v>
      </c>
      <c r="E638" s="21">
        <f t="shared" ref="E638:E646" si="223">E639</f>
        <v>6309.3</v>
      </c>
      <c r="F638" s="21">
        <f t="shared" ref="F638:F646" si="224">F639</f>
        <v>6286</v>
      </c>
    </row>
    <row r="639" spans="1:6" ht="47.25">
      <c r="A639" s="211" t="s">
        <v>45</v>
      </c>
      <c r="B639" s="201">
        <v>1600000000</v>
      </c>
      <c r="C639" s="201"/>
      <c r="D639" s="212" t="s">
        <v>133</v>
      </c>
      <c r="E639" s="21">
        <f t="shared" si="223"/>
        <v>6309.3</v>
      </c>
      <c r="F639" s="21">
        <f t="shared" si="224"/>
        <v>6286</v>
      </c>
    </row>
    <row r="640" spans="1:6" ht="31.5">
      <c r="A640" s="211" t="s">
        <v>45</v>
      </c>
      <c r="B640" s="201">
        <v>1620000000</v>
      </c>
      <c r="C640" s="201"/>
      <c r="D640" s="212" t="s">
        <v>126</v>
      </c>
      <c r="E640" s="21">
        <f t="shared" si="223"/>
        <v>6309.3</v>
      </c>
      <c r="F640" s="21">
        <f t="shared" si="224"/>
        <v>6286</v>
      </c>
    </row>
    <row r="641" spans="1:6">
      <c r="A641" s="211" t="s">
        <v>45</v>
      </c>
      <c r="B641" s="201">
        <v>1620200000</v>
      </c>
      <c r="C641" s="201"/>
      <c r="D641" s="212" t="s">
        <v>131</v>
      </c>
      <c r="E641" s="21">
        <f>E645+E642</f>
        <v>6309.3</v>
      </c>
      <c r="F641" s="21">
        <f t="shared" ref="F641" si="225">F645+F642</f>
        <v>6286</v>
      </c>
    </row>
    <row r="642" spans="1:6" ht="47.25">
      <c r="A642" s="211" t="s">
        <v>45</v>
      </c>
      <c r="B642" s="201">
        <v>1620210290</v>
      </c>
      <c r="C642" s="201"/>
      <c r="D642" s="212" t="s">
        <v>368</v>
      </c>
      <c r="E642" s="28">
        <f>E643</f>
        <v>4423.5</v>
      </c>
      <c r="F642" s="28">
        <f t="shared" ref="F642:F643" si="226">F643</f>
        <v>4400.2</v>
      </c>
    </row>
    <row r="643" spans="1:6" ht="31.5">
      <c r="A643" s="211" t="s">
        <v>45</v>
      </c>
      <c r="B643" s="201">
        <v>1620210290</v>
      </c>
      <c r="C643" s="201" t="s">
        <v>78</v>
      </c>
      <c r="D643" s="212" t="s">
        <v>108</v>
      </c>
      <c r="E643" s="28">
        <f>E644</f>
        <v>4423.5</v>
      </c>
      <c r="F643" s="28">
        <f t="shared" si="226"/>
        <v>4400.2</v>
      </c>
    </row>
    <row r="644" spans="1:6">
      <c r="A644" s="211" t="s">
        <v>45</v>
      </c>
      <c r="B644" s="201">
        <v>1620210290</v>
      </c>
      <c r="C644" s="201" t="s">
        <v>140</v>
      </c>
      <c r="D644" s="212" t="s">
        <v>141</v>
      </c>
      <c r="E644" s="28">
        <f>№6!F606</f>
        <v>4423.5</v>
      </c>
      <c r="F644" s="28">
        <f>№6!G606</f>
        <v>4400.2</v>
      </c>
    </row>
    <row r="645" spans="1:6" ht="30.75" customHeight="1">
      <c r="A645" s="211" t="s">
        <v>45</v>
      </c>
      <c r="B645" s="201" t="s">
        <v>321</v>
      </c>
      <c r="C645" s="201"/>
      <c r="D645" s="212" t="s">
        <v>322</v>
      </c>
      <c r="E645" s="21">
        <f t="shared" si="223"/>
        <v>1885.8</v>
      </c>
      <c r="F645" s="21">
        <f t="shared" si="224"/>
        <v>1885.8</v>
      </c>
    </row>
    <row r="646" spans="1:6" ht="31.5">
      <c r="A646" s="211" t="s">
        <v>45</v>
      </c>
      <c r="B646" s="201" t="s">
        <v>321</v>
      </c>
      <c r="C646" s="201" t="s">
        <v>78</v>
      </c>
      <c r="D646" s="212" t="s">
        <v>108</v>
      </c>
      <c r="E646" s="21">
        <f t="shared" si="223"/>
        <v>1885.8</v>
      </c>
      <c r="F646" s="21">
        <f t="shared" si="224"/>
        <v>1885.8</v>
      </c>
    </row>
    <row r="647" spans="1:6">
      <c r="A647" s="211" t="s">
        <v>45</v>
      </c>
      <c r="B647" s="201" t="s">
        <v>321</v>
      </c>
      <c r="C647" s="201" t="s">
        <v>140</v>
      </c>
      <c r="D647" s="212" t="s">
        <v>141</v>
      </c>
      <c r="E647" s="21">
        <f>№6!F609</f>
        <v>1885.8</v>
      </c>
      <c r="F647" s="21">
        <f>№6!G609</f>
        <v>1885.8</v>
      </c>
    </row>
    <row r="648" spans="1:6">
      <c r="A648" s="211" t="s">
        <v>91</v>
      </c>
      <c r="B648" s="211" t="s">
        <v>72</v>
      </c>
      <c r="C648" s="211" t="s">
        <v>72</v>
      </c>
      <c r="D648" s="367" t="s">
        <v>92</v>
      </c>
      <c r="E648" s="21">
        <f>E649+E657</f>
        <v>21451.1</v>
      </c>
      <c r="F648" s="21">
        <f t="shared" ref="F648" si="227">F649+F657</f>
        <v>21451.1</v>
      </c>
    </row>
    <row r="649" spans="1:6" ht="31.5">
      <c r="A649" s="211" t="s">
        <v>91</v>
      </c>
      <c r="B649" s="201">
        <v>1100000000</v>
      </c>
      <c r="C649" s="211"/>
      <c r="D649" s="212" t="s">
        <v>236</v>
      </c>
      <c r="E649" s="21">
        <f>E650</f>
        <v>10448.6</v>
      </c>
      <c r="F649" s="21">
        <f t="shared" ref="F649:F651" si="228">F650</f>
        <v>10448.6</v>
      </c>
    </row>
    <row r="650" spans="1:6">
      <c r="A650" s="211" t="s">
        <v>91</v>
      </c>
      <c r="B650" s="211">
        <v>1110000000</v>
      </c>
      <c r="C650" s="211"/>
      <c r="D650" s="30" t="s">
        <v>214</v>
      </c>
      <c r="E650" s="21">
        <f>E651</f>
        <v>10448.6</v>
      </c>
      <c r="F650" s="21">
        <f t="shared" si="228"/>
        <v>10448.6</v>
      </c>
    </row>
    <row r="651" spans="1:6" ht="30.75" customHeight="1">
      <c r="A651" s="211" t="s">
        <v>91</v>
      </c>
      <c r="B651" s="211">
        <v>1110200000</v>
      </c>
      <c r="C651" s="211"/>
      <c r="D651" s="30" t="s">
        <v>230</v>
      </c>
      <c r="E651" s="21">
        <f>E652</f>
        <v>10448.6</v>
      </c>
      <c r="F651" s="21">
        <f t="shared" si="228"/>
        <v>10448.6</v>
      </c>
    </row>
    <row r="652" spans="1:6" ht="78.75">
      <c r="A652" s="211" t="s">
        <v>91</v>
      </c>
      <c r="B652" s="211">
        <v>1110210500</v>
      </c>
      <c r="C652" s="211"/>
      <c r="D652" s="212" t="s">
        <v>305</v>
      </c>
      <c r="E652" s="21">
        <f>E653+E655</f>
        <v>10448.6</v>
      </c>
      <c r="F652" s="21">
        <f t="shared" ref="F652" si="229">F653+F655</f>
        <v>10448.6</v>
      </c>
    </row>
    <row r="653" spans="1:6" ht="31.5">
      <c r="A653" s="211" t="s">
        <v>91</v>
      </c>
      <c r="B653" s="211">
        <v>1110210500</v>
      </c>
      <c r="C653" s="211" t="s">
        <v>75</v>
      </c>
      <c r="D653" s="30" t="s">
        <v>107</v>
      </c>
      <c r="E653" s="21">
        <f>E654</f>
        <v>244.60000000000002</v>
      </c>
      <c r="F653" s="21">
        <f t="shared" ref="F653" si="230">F654</f>
        <v>244.6</v>
      </c>
    </row>
    <row r="654" spans="1:6" ht="33" customHeight="1">
      <c r="A654" s="211" t="s">
        <v>91</v>
      </c>
      <c r="B654" s="211">
        <v>1110210500</v>
      </c>
      <c r="C654" s="211">
        <v>240</v>
      </c>
      <c r="D654" s="212" t="s">
        <v>441</v>
      </c>
      <c r="E654" s="21">
        <f>№6!F883</f>
        <v>244.60000000000002</v>
      </c>
      <c r="F654" s="21">
        <f>№6!G883</f>
        <v>244.6</v>
      </c>
    </row>
    <row r="655" spans="1:6">
      <c r="A655" s="211" t="s">
        <v>91</v>
      </c>
      <c r="B655" s="211">
        <v>1110210500</v>
      </c>
      <c r="C655" s="211" t="s">
        <v>79</v>
      </c>
      <c r="D655" s="30" t="s">
        <v>80</v>
      </c>
      <c r="E655" s="21">
        <f>E656</f>
        <v>10204</v>
      </c>
      <c r="F655" s="21">
        <f t="shared" ref="F655" si="231">F656</f>
        <v>10204</v>
      </c>
    </row>
    <row r="656" spans="1:6" ht="31.5">
      <c r="A656" s="211" t="s">
        <v>91</v>
      </c>
      <c r="B656" s="211">
        <v>1110210500</v>
      </c>
      <c r="C656" s="1" t="s">
        <v>120</v>
      </c>
      <c r="D656" s="23" t="s">
        <v>121</v>
      </c>
      <c r="E656" s="21">
        <f>№6!F885</f>
        <v>10204</v>
      </c>
      <c r="F656" s="21">
        <f>№6!G885</f>
        <v>10204</v>
      </c>
    </row>
    <row r="657" spans="1:6" ht="47.25">
      <c r="A657" s="201" t="s">
        <v>91</v>
      </c>
      <c r="B657" s="201">
        <v>1600000000</v>
      </c>
      <c r="C657" s="201"/>
      <c r="D657" s="212" t="s">
        <v>133</v>
      </c>
      <c r="E657" s="21">
        <f t="shared" ref="E657:F664" si="232">E658</f>
        <v>11002.5</v>
      </c>
      <c r="F657" s="21">
        <f t="shared" si="232"/>
        <v>11002.5</v>
      </c>
    </row>
    <row r="658" spans="1:6" ht="31.5">
      <c r="A658" s="201" t="s">
        <v>91</v>
      </c>
      <c r="B658" s="201">
        <v>1620000000</v>
      </c>
      <c r="C658" s="201"/>
      <c r="D658" s="212" t="s">
        <v>126</v>
      </c>
      <c r="E658" s="21">
        <f t="shared" si="232"/>
        <v>11002.5</v>
      </c>
      <c r="F658" s="21">
        <f t="shared" si="232"/>
        <v>11002.5</v>
      </c>
    </row>
    <row r="659" spans="1:6" ht="20.45" customHeight="1">
      <c r="A659" s="201" t="s">
        <v>91</v>
      </c>
      <c r="B659" s="201">
        <v>1620200000</v>
      </c>
      <c r="C659" s="201"/>
      <c r="D659" s="212" t="s">
        <v>131</v>
      </c>
      <c r="E659" s="21">
        <f>E663+E660</f>
        <v>11002.5</v>
      </c>
      <c r="F659" s="21">
        <f t="shared" ref="F659" si="233">F663+F660</f>
        <v>11002.5</v>
      </c>
    </row>
    <row r="660" spans="1:6" ht="63">
      <c r="A660" s="201" t="s">
        <v>91</v>
      </c>
      <c r="B660" s="201">
        <v>1620210820</v>
      </c>
      <c r="C660" s="201"/>
      <c r="D660" s="212" t="s">
        <v>316</v>
      </c>
      <c r="E660" s="28">
        <f>E661</f>
        <v>8001.8</v>
      </c>
      <c r="F660" s="28">
        <f t="shared" ref="F660:F661" si="234">F661</f>
        <v>8001.8</v>
      </c>
    </row>
    <row r="661" spans="1:6" ht="31.5">
      <c r="A661" s="201" t="s">
        <v>91</v>
      </c>
      <c r="B661" s="201">
        <v>1620210820</v>
      </c>
      <c r="C661" s="201" t="s">
        <v>78</v>
      </c>
      <c r="D661" s="212" t="s">
        <v>108</v>
      </c>
      <c r="E661" s="28">
        <f>E662</f>
        <v>8001.8</v>
      </c>
      <c r="F661" s="28">
        <f t="shared" si="234"/>
        <v>8001.8</v>
      </c>
    </row>
    <row r="662" spans="1:6">
      <c r="A662" s="201" t="s">
        <v>91</v>
      </c>
      <c r="B662" s="201">
        <v>1620210820</v>
      </c>
      <c r="C662" s="201" t="s">
        <v>140</v>
      </c>
      <c r="D662" s="212" t="s">
        <v>141</v>
      </c>
      <c r="E662" s="28">
        <f>№6!F616</f>
        <v>8001.8</v>
      </c>
      <c r="F662" s="28">
        <f>№6!G616</f>
        <v>8001.8</v>
      </c>
    </row>
    <row r="663" spans="1:6" ht="51.6" customHeight="1">
      <c r="A663" s="201" t="s">
        <v>91</v>
      </c>
      <c r="B663" s="201" t="s">
        <v>134</v>
      </c>
      <c r="C663" s="201"/>
      <c r="D663" s="212" t="s">
        <v>313</v>
      </c>
      <c r="E663" s="21">
        <f t="shared" si="232"/>
        <v>3000.7</v>
      </c>
      <c r="F663" s="21">
        <f t="shared" si="232"/>
        <v>3000.7</v>
      </c>
    </row>
    <row r="664" spans="1:6" ht="31.5">
      <c r="A664" s="201" t="s">
        <v>91</v>
      </c>
      <c r="B664" s="201" t="s">
        <v>134</v>
      </c>
      <c r="C664" s="201" t="s">
        <v>78</v>
      </c>
      <c r="D664" s="212" t="s">
        <v>108</v>
      </c>
      <c r="E664" s="21">
        <f t="shared" si="232"/>
        <v>3000.7</v>
      </c>
      <c r="F664" s="21">
        <f t="shared" si="232"/>
        <v>3000.7</v>
      </c>
    </row>
    <row r="665" spans="1:6">
      <c r="A665" s="201" t="s">
        <v>91</v>
      </c>
      <c r="B665" s="201" t="s">
        <v>134</v>
      </c>
      <c r="C665" s="201" t="s">
        <v>140</v>
      </c>
      <c r="D665" s="212" t="s">
        <v>141</v>
      </c>
      <c r="E665" s="21">
        <f>№6!F619</f>
        <v>3000.7</v>
      </c>
      <c r="F665" s="21">
        <f>№6!G619</f>
        <v>3000.7</v>
      </c>
    </row>
    <row r="666" spans="1:6">
      <c r="A666" s="19" t="s">
        <v>67</v>
      </c>
      <c r="B666" s="19" t="s">
        <v>72</v>
      </c>
      <c r="C666" s="19" t="s">
        <v>72</v>
      </c>
      <c r="D666" s="26" t="s">
        <v>35</v>
      </c>
      <c r="E666" s="366">
        <f>E667+E712</f>
        <v>14055.999999999998</v>
      </c>
      <c r="F666" s="366">
        <f>F667+F712</f>
        <v>14027</v>
      </c>
    </row>
    <row r="667" spans="1:6">
      <c r="A667" s="211" t="s">
        <v>93</v>
      </c>
      <c r="B667" s="211" t="s">
        <v>72</v>
      </c>
      <c r="C667" s="211" t="s">
        <v>72</v>
      </c>
      <c r="D667" s="30" t="s">
        <v>68</v>
      </c>
      <c r="E667" s="21">
        <f>E668</f>
        <v>13266.199999999999</v>
      </c>
      <c r="F667" s="21">
        <f t="shared" ref="F667:F668" si="235">F668</f>
        <v>13237.2</v>
      </c>
    </row>
    <row r="668" spans="1:6" ht="47.25">
      <c r="A668" s="211" t="s">
        <v>93</v>
      </c>
      <c r="B668" s="201">
        <v>1200000000</v>
      </c>
      <c r="C668" s="211"/>
      <c r="D668" s="30" t="s">
        <v>231</v>
      </c>
      <c r="E668" s="21">
        <f>E669</f>
        <v>13266.199999999999</v>
      </c>
      <c r="F668" s="21">
        <f t="shared" si="235"/>
        <v>13237.2</v>
      </c>
    </row>
    <row r="669" spans="1:6">
      <c r="A669" s="211" t="s">
        <v>93</v>
      </c>
      <c r="B669" s="211">
        <v>1230000000</v>
      </c>
      <c r="C669" s="211"/>
      <c r="D669" s="30" t="s">
        <v>257</v>
      </c>
      <c r="E669" s="21">
        <f>E670+E680+E694+E684</f>
        <v>13266.199999999999</v>
      </c>
      <c r="F669" s="21">
        <f>F670+F680+F694+F684</f>
        <v>13237.2</v>
      </c>
    </row>
    <row r="670" spans="1:6" ht="37.9" customHeight="1">
      <c r="A670" s="211" t="s">
        <v>93</v>
      </c>
      <c r="B670" s="211">
        <v>1230100000</v>
      </c>
      <c r="C670" s="211"/>
      <c r="D670" s="30" t="s">
        <v>258</v>
      </c>
      <c r="E670" s="21">
        <f>E674+E671+E677</f>
        <v>11125.099999999999</v>
      </c>
      <c r="F670" s="21">
        <f t="shared" ref="F670" si="236">F674+F671+F677</f>
        <v>11125.1</v>
      </c>
    </row>
    <row r="671" spans="1:6" ht="47.25">
      <c r="A671" s="3" t="s">
        <v>93</v>
      </c>
      <c r="B671" s="211">
        <v>1230110200</v>
      </c>
      <c r="C671" s="211"/>
      <c r="D671" s="9" t="s">
        <v>349</v>
      </c>
      <c r="E671" s="21">
        <f>E672</f>
        <v>624.9</v>
      </c>
      <c r="F671" s="21">
        <f t="shared" ref="F671:F672" si="237">F672</f>
        <v>624.9</v>
      </c>
    </row>
    <row r="672" spans="1:6" ht="31.5">
      <c r="A672" s="3" t="s">
        <v>93</v>
      </c>
      <c r="B672" s="211">
        <v>1230110200</v>
      </c>
      <c r="C672" s="201" t="s">
        <v>109</v>
      </c>
      <c r="D672" s="212" t="s">
        <v>110</v>
      </c>
      <c r="E672" s="21">
        <f>E673</f>
        <v>624.9</v>
      </c>
      <c r="F672" s="21">
        <f t="shared" si="237"/>
        <v>624.9</v>
      </c>
    </row>
    <row r="673" spans="1:6">
      <c r="A673" s="211" t="s">
        <v>93</v>
      </c>
      <c r="B673" s="211">
        <v>1230110200</v>
      </c>
      <c r="C673" s="211">
        <v>610</v>
      </c>
      <c r="D673" s="212" t="s">
        <v>123</v>
      </c>
      <c r="E673" s="21">
        <f>№6!F440</f>
        <v>624.9</v>
      </c>
      <c r="F673" s="21">
        <f>№6!G440</f>
        <v>624.9</v>
      </c>
    </row>
    <row r="674" spans="1:6" ht="31.5">
      <c r="A674" s="3" t="s">
        <v>93</v>
      </c>
      <c r="B674" s="211">
        <v>1230120010</v>
      </c>
      <c r="C674" s="211"/>
      <c r="D674" s="30" t="s">
        <v>144</v>
      </c>
      <c r="E674" s="21">
        <f>E675</f>
        <v>10437.699999999999</v>
      </c>
      <c r="F674" s="21">
        <f t="shared" ref="F674:F675" si="238">F675</f>
        <v>10437.700000000001</v>
      </c>
    </row>
    <row r="675" spans="1:6" ht="31.5">
      <c r="A675" s="3" t="s">
        <v>93</v>
      </c>
      <c r="B675" s="211">
        <v>1230120010</v>
      </c>
      <c r="C675" s="201" t="s">
        <v>109</v>
      </c>
      <c r="D675" s="212" t="s">
        <v>110</v>
      </c>
      <c r="E675" s="21">
        <f>E676</f>
        <v>10437.699999999999</v>
      </c>
      <c r="F675" s="21">
        <f t="shared" si="238"/>
        <v>10437.700000000001</v>
      </c>
    </row>
    <row r="676" spans="1:6">
      <c r="A676" s="211" t="s">
        <v>93</v>
      </c>
      <c r="B676" s="211">
        <v>1230120010</v>
      </c>
      <c r="C676" s="211">
        <v>610</v>
      </c>
      <c r="D676" s="212" t="s">
        <v>123</v>
      </c>
      <c r="E676" s="21">
        <f>№6!F669+№6!F443</f>
        <v>10437.699999999999</v>
      </c>
      <c r="F676" s="21">
        <f>№6!G669+№6!G443</f>
        <v>10437.700000000001</v>
      </c>
    </row>
    <row r="677" spans="1:6" ht="47.25">
      <c r="A677" s="3" t="s">
        <v>93</v>
      </c>
      <c r="B677" s="211" t="s">
        <v>355</v>
      </c>
      <c r="C677" s="211"/>
      <c r="D677" s="9" t="s">
        <v>354</v>
      </c>
      <c r="E677" s="21">
        <f>E678</f>
        <v>62.5</v>
      </c>
      <c r="F677" s="21">
        <f t="shared" ref="F677:F678" si="239">F678</f>
        <v>62.5</v>
      </c>
    </row>
    <row r="678" spans="1:6" ht="31.5">
      <c r="A678" s="3" t="s">
        <v>93</v>
      </c>
      <c r="B678" s="211" t="s">
        <v>355</v>
      </c>
      <c r="C678" s="201" t="s">
        <v>109</v>
      </c>
      <c r="D678" s="212" t="s">
        <v>110</v>
      </c>
      <c r="E678" s="21">
        <f>E679</f>
        <v>62.5</v>
      </c>
      <c r="F678" s="21">
        <f t="shared" si="239"/>
        <v>62.5</v>
      </c>
    </row>
    <row r="679" spans="1:6">
      <c r="A679" s="211" t="s">
        <v>93</v>
      </c>
      <c r="B679" s="211" t="s">
        <v>355</v>
      </c>
      <c r="C679" s="211">
        <v>610</v>
      </c>
      <c r="D679" s="212" t="s">
        <v>123</v>
      </c>
      <c r="E679" s="21">
        <f>№6!F446</f>
        <v>62.5</v>
      </c>
      <c r="F679" s="21">
        <f>№6!G446</f>
        <v>62.5</v>
      </c>
    </row>
    <row r="680" spans="1:6" ht="63">
      <c r="A680" s="211" t="s">
        <v>93</v>
      </c>
      <c r="B680" s="211">
        <v>1230200000</v>
      </c>
      <c r="C680" s="211"/>
      <c r="D680" s="30" t="s">
        <v>259</v>
      </c>
      <c r="E680" s="21">
        <f>E681</f>
        <v>254.9</v>
      </c>
      <c r="F680" s="21">
        <f t="shared" ref="F680:F682" si="240">F681</f>
        <v>254.9</v>
      </c>
    </row>
    <row r="681" spans="1:6">
      <c r="A681" s="211" t="s">
        <v>93</v>
      </c>
      <c r="B681" s="211">
        <v>1230220040</v>
      </c>
      <c r="C681" s="211"/>
      <c r="D681" s="30" t="s">
        <v>260</v>
      </c>
      <c r="E681" s="21">
        <f>E682</f>
        <v>254.9</v>
      </c>
      <c r="F681" s="21">
        <f t="shared" si="240"/>
        <v>254.9</v>
      </c>
    </row>
    <row r="682" spans="1:6" ht="31.5">
      <c r="A682" s="211" t="s">
        <v>93</v>
      </c>
      <c r="B682" s="211">
        <v>1230220040</v>
      </c>
      <c r="C682" s="201" t="s">
        <v>109</v>
      </c>
      <c r="D682" s="212" t="s">
        <v>110</v>
      </c>
      <c r="E682" s="21">
        <f>E683</f>
        <v>254.9</v>
      </c>
      <c r="F682" s="21">
        <f t="shared" si="240"/>
        <v>254.9</v>
      </c>
    </row>
    <row r="683" spans="1:6">
      <c r="A683" s="211" t="s">
        <v>93</v>
      </c>
      <c r="B683" s="211">
        <v>1230220040</v>
      </c>
      <c r="C683" s="211">
        <v>610</v>
      </c>
      <c r="D683" s="212" t="s">
        <v>123</v>
      </c>
      <c r="E683" s="21">
        <f>№6!F450+№6!F673</f>
        <v>254.9</v>
      </c>
      <c r="F683" s="21">
        <f>№6!G450+№6!G673</f>
        <v>254.9</v>
      </c>
    </row>
    <row r="684" spans="1:6">
      <c r="A684" s="211" t="s">
        <v>93</v>
      </c>
      <c r="B684" s="211">
        <v>1230500000</v>
      </c>
      <c r="C684" s="211"/>
      <c r="D684" s="212" t="s">
        <v>317</v>
      </c>
      <c r="E684" s="21">
        <f>E691+E685+E688</f>
        <v>548</v>
      </c>
      <c r="F684" s="21">
        <f>F691+F685+F688</f>
        <v>519.20000000000005</v>
      </c>
    </row>
    <row r="685" spans="1:6" ht="47.25">
      <c r="A685" s="211" t="s">
        <v>93</v>
      </c>
      <c r="B685" s="211">
        <v>1230510400</v>
      </c>
      <c r="C685" s="211"/>
      <c r="D685" s="212" t="s">
        <v>343</v>
      </c>
      <c r="E685" s="21">
        <f>E686</f>
        <v>403</v>
      </c>
      <c r="F685" s="21">
        <f t="shared" ref="F685:F686" si="241">F686</f>
        <v>403</v>
      </c>
    </row>
    <row r="686" spans="1:6" ht="31.5">
      <c r="A686" s="211" t="s">
        <v>93</v>
      </c>
      <c r="B686" s="211">
        <v>1230510400</v>
      </c>
      <c r="C686" s="201" t="s">
        <v>75</v>
      </c>
      <c r="D686" s="212" t="s">
        <v>107</v>
      </c>
      <c r="E686" s="21">
        <f>E687</f>
        <v>403</v>
      </c>
      <c r="F686" s="21">
        <f t="shared" si="241"/>
        <v>403</v>
      </c>
    </row>
    <row r="687" spans="1:6" ht="36" customHeight="1">
      <c r="A687" s="211" t="s">
        <v>93</v>
      </c>
      <c r="B687" s="211">
        <v>1230510400</v>
      </c>
      <c r="C687" s="211">
        <v>240</v>
      </c>
      <c r="D687" s="212" t="s">
        <v>441</v>
      </c>
      <c r="E687" s="21">
        <f>№6!F454</f>
        <v>403</v>
      </c>
      <c r="F687" s="21">
        <f>№6!G454</f>
        <v>403</v>
      </c>
    </row>
    <row r="688" spans="1:6" ht="30" customHeight="1">
      <c r="A688" s="211" t="s">
        <v>93</v>
      </c>
      <c r="B688" s="211">
        <v>1230520300</v>
      </c>
      <c r="C688" s="211"/>
      <c r="D688" s="212" t="s">
        <v>416</v>
      </c>
      <c r="E688" s="21">
        <f>E689</f>
        <v>37</v>
      </c>
      <c r="F688" s="21">
        <f t="shared" ref="F688:F689" si="242">F689</f>
        <v>8.1999999999999993</v>
      </c>
    </row>
    <row r="689" spans="1:6" ht="31.5" customHeight="1">
      <c r="A689" s="211" t="s">
        <v>93</v>
      </c>
      <c r="B689" s="211">
        <v>1230520300</v>
      </c>
      <c r="C689" s="201" t="s">
        <v>78</v>
      </c>
      <c r="D689" s="212" t="s">
        <v>108</v>
      </c>
      <c r="E689" s="21">
        <f>E690</f>
        <v>37</v>
      </c>
      <c r="F689" s="21">
        <f t="shared" si="242"/>
        <v>8.1999999999999993</v>
      </c>
    </row>
    <row r="690" spans="1:6">
      <c r="A690" s="211" t="s">
        <v>93</v>
      </c>
      <c r="B690" s="211">
        <v>1230520300</v>
      </c>
      <c r="C690" s="201" t="s">
        <v>140</v>
      </c>
      <c r="D690" s="212" t="s">
        <v>141</v>
      </c>
      <c r="E690" s="21">
        <f>№6!F457</f>
        <v>37</v>
      </c>
      <c r="F690" s="21">
        <f>№6!G457</f>
        <v>8.1999999999999993</v>
      </c>
    </row>
    <row r="691" spans="1:6" ht="47.25">
      <c r="A691" s="211" t="s">
        <v>93</v>
      </c>
      <c r="B691" s="211" t="s">
        <v>318</v>
      </c>
      <c r="C691" s="211"/>
      <c r="D691" s="212" t="s">
        <v>319</v>
      </c>
      <c r="E691" s="21">
        <f>E692</f>
        <v>108</v>
      </c>
      <c r="F691" s="21">
        <f t="shared" ref="F691:F692" si="243">F692</f>
        <v>108</v>
      </c>
    </row>
    <row r="692" spans="1:6" ht="31.5">
      <c r="A692" s="211" t="s">
        <v>93</v>
      </c>
      <c r="B692" s="211" t="s">
        <v>318</v>
      </c>
      <c r="C692" s="201" t="s">
        <v>75</v>
      </c>
      <c r="D692" s="212" t="s">
        <v>107</v>
      </c>
      <c r="E692" s="21">
        <f>E693</f>
        <v>108</v>
      </c>
      <c r="F692" s="21">
        <f t="shared" si="243"/>
        <v>108</v>
      </c>
    </row>
    <row r="693" spans="1:6" ht="31.5">
      <c r="A693" s="211" t="s">
        <v>93</v>
      </c>
      <c r="B693" s="211" t="s">
        <v>318</v>
      </c>
      <c r="C693" s="211">
        <v>240</v>
      </c>
      <c r="D693" s="212" t="s">
        <v>441</v>
      </c>
      <c r="E693" s="21">
        <f>№6!F460</f>
        <v>108</v>
      </c>
      <c r="F693" s="21">
        <f>№6!G460</f>
        <v>108</v>
      </c>
    </row>
    <row r="694" spans="1:6" ht="31.5">
      <c r="A694" s="211" t="s">
        <v>93</v>
      </c>
      <c r="B694" s="211">
        <v>1230600000</v>
      </c>
      <c r="C694" s="211"/>
      <c r="D694" s="30" t="s">
        <v>261</v>
      </c>
      <c r="E694" s="21">
        <f>E695+E702+E705</f>
        <v>1338.2</v>
      </c>
      <c r="F694" s="21">
        <f>F695+F702+F705</f>
        <v>1338</v>
      </c>
    </row>
    <row r="695" spans="1:6" ht="31.5">
      <c r="A695" s="211" t="s">
        <v>93</v>
      </c>
      <c r="B695" s="211">
        <v>1230620300</v>
      </c>
      <c r="C695" s="211"/>
      <c r="D695" s="30" t="s">
        <v>262</v>
      </c>
      <c r="E695" s="21">
        <f>E696+E698+E700</f>
        <v>390.6</v>
      </c>
      <c r="F695" s="21">
        <f t="shared" ref="F695" si="244">F696+F698+F700</f>
        <v>390.6</v>
      </c>
    </row>
    <row r="696" spans="1:6" ht="63">
      <c r="A696" s="211" t="s">
        <v>93</v>
      </c>
      <c r="B696" s="211">
        <v>1230620300</v>
      </c>
      <c r="C696" s="201" t="s">
        <v>74</v>
      </c>
      <c r="D696" s="212" t="s">
        <v>2</v>
      </c>
      <c r="E696" s="21">
        <f>E697</f>
        <v>119.90000000000002</v>
      </c>
      <c r="F696" s="21">
        <f t="shared" ref="F696" si="245">F697</f>
        <v>119.9</v>
      </c>
    </row>
    <row r="697" spans="1:6" ht="31.9" customHeight="1">
      <c r="A697" s="211" t="s">
        <v>93</v>
      </c>
      <c r="B697" s="211">
        <v>1230620300</v>
      </c>
      <c r="C697" s="211">
        <v>120</v>
      </c>
      <c r="D697" s="30" t="s">
        <v>443</v>
      </c>
      <c r="E697" s="21">
        <f>№6!F677+№6!F464</f>
        <v>119.90000000000002</v>
      </c>
      <c r="F697" s="21">
        <f>№6!G677+№6!G464</f>
        <v>119.9</v>
      </c>
    </row>
    <row r="698" spans="1:6" ht="31.5">
      <c r="A698" s="211" t="s">
        <v>93</v>
      </c>
      <c r="B698" s="211">
        <v>1230620300</v>
      </c>
      <c r="C698" s="201" t="s">
        <v>75</v>
      </c>
      <c r="D698" s="212" t="s">
        <v>107</v>
      </c>
      <c r="E698" s="21">
        <f>E699</f>
        <v>168.2</v>
      </c>
      <c r="F698" s="21">
        <f t="shared" ref="F698" si="246">F699</f>
        <v>168.2</v>
      </c>
    </row>
    <row r="699" spans="1:6" ht="34.15" customHeight="1">
      <c r="A699" s="211" t="s">
        <v>93</v>
      </c>
      <c r="B699" s="211">
        <v>1230620300</v>
      </c>
      <c r="C699" s="211">
        <v>240</v>
      </c>
      <c r="D699" s="212" t="s">
        <v>441</v>
      </c>
      <c r="E699" s="21">
        <f>№6!F466+№6!F679</f>
        <v>168.2</v>
      </c>
      <c r="F699" s="21">
        <f>№6!G466+№6!G679</f>
        <v>168.2</v>
      </c>
    </row>
    <row r="700" spans="1:6">
      <c r="A700" s="211" t="s">
        <v>93</v>
      </c>
      <c r="B700" s="211">
        <v>1230620300</v>
      </c>
      <c r="C700" s="211" t="s">
        <v>76</v>
      </c>
      <c r="D700" s="212" t="s">
        <v>77</v>
      </c>
      <c r="E700" s="21">
        <f>E701</f>
        <v>102.5</v>
      </c>
      <c r="F700" s="21">
        <f t="shared" ref="F700" si="247">F701</f>
        <v>102.5</v>
      </c>
    </row>
    <row r="701" spans="1:6">
      <c r="A701" s="211" t="s">
        <v>93</v>
      </c>
      <c r="B701" s="211">
        <v>1230620300</v>
      </c>
      <c r="C701" s="211">
        <v>850</v>
      </c>
      <c r="D701" s="212" t="s">
        <v>119</v>
      </c>
      <c r="E701" s="21">
        <f>№6!F468</f>
        <v>102.5</v>
      </c>
      <c r="F701" s="21">
        <f>№6!G468</f>
        <v>102.5</v>
      </c>
    </row>
    <row r="702" spans="1:6" ht="31.5">
      <c r="A702" s="211" t="s">
        <v>93</v>
      </c>
      <c r="B702" s="211">
        <v>1230620310</v>
      </c>
      <c r="C702" s="211"/>
      <c r="D702" s="30" t="s">
        <v>263</v>
      </c>
      <c r="E702" s="21">
        <f>E703</f>
        <v>55.3</v>
      </c>
      <c r="F702" s="21">
        <f t="shared" ref="F702:F703" si="248">F703</f>
        <v>55.3</v>
      </c>
    </row>
    <row r="703" spans="1:6" ht="31.5">
      <c r="A703" s="211" t="s">
        <v>93</v>
      </c>
      <c r="B703" s="211">
        <v>1230620310</v>
      </c>
      <c r="C703" s="201" t="s">
        <v>75</v>
      </c>
      <c r="D703" s="212" t="s">
        <v>107</v>
      </c>
      <c r="E703" s="21">
        <f>E704</f>
        <v>55.3</v>
      </c>
      <c r="F703" s="21">
        <f t="shared" si="248"/>
        <v>55.3</v>
      </c>
    </row>
    <row r="704" spans="1:6" ht="33" customHeight="1">
      <c r="A704" s="211" t="s">
        <v>93</v>
      </c>
      <c r="B704" s="211">
        <v>1230620310</v>
      </c>
      <c r="C704" s="211">
        <v>240</v>
      </c>
      <c r="D704" s="212" t="s">
        <v>441</v>
      </c>
      <c r="E704" s="21">
        <f>№6!F471+№6!F682</f>
        <v>55.3</v>
      </c>
      <c r="F704" s="21">
        <f>№6!G471+№6!G682</f>
        <v>55.3</v>
      </c>
    </row>
    <row r="705" spans="1:6">
      <c r="A705" s="211" t="s">
        <v>93</v>
      </c>
      <c r="B705" s="211">
        <v>1230620320</v>
      </c>
      <c r="C705" s="211"/>
      <c r="D705" s="30" t="s">
        <v>176</v>
      </c>
      <c r="E705" s="21">
        <f>E706+E708+E710</f>
        <v>892.3</v>
      </c>
      <c r="F705" s="21">
        <f t="shared" ref="F705" si="249">F706+F708+F710</f>
        <v>892.09999999999991</v>
      </c>
    </row>
    <row r="706" spans="1:6" ht="63">
      <c r="A706" s="211" t="s">
        <v>93</v>
      </c>
      <c r="B706" s="211">
        <v>1230620320</v>
      </c>
      <c r="C706" s="201" t="s">
        <v>74</v>
      </c>
      <c r="D706" s="212" t="s">
        <v>2</v>
      </c>
      <c r="E706" s="21">
        <f>E707</f>
        <v>448.1</v>
      </c>
      <c r="F706" s="21">
        <f t="shared" ref="F706" si="250">F707</f>
        <v>447.9</v>
      </c>
    </row>
    <row r="707" spans="1:6" ht="37.15" customHeight="1">
      <c r="A707" s="211" t="s">
        <v>93</v>
      </c>
      <c r="B707" s="211">
        <v>1230620320</v>
      </c>
      <c r="C707" s="211">
        <v>120</v>
      </c>
      <c r="D707" s="30" t="s">
        <v>443</v>
      </c>
      <c r="E707" s="21">
        <f>№6!F685+№6!F474</f>
        <v>448.1</v>
      </c>
      <c r="F707" s="21">
        <f>№6!G685+№6!G474</f>
        <v>447.9</v>
      </c>
    </row>
    <row r="708" spans="1:6" ht="31.5">
      <c r="A708" s="211" t="s">
        <v>93</v>
      </c>
      <c r="B708" s="211">
        <v>1230620320</v>
      </c>
      <c r="C708" s="201" t="s">
        <v>75</v>
      </c>
      <c r="D708" s="212" t="s">
        <v>107</v>
      </c>
      <c r="E708" s="21">
        <f>E709</f>
        <v>240.2</v>
      </c>
      <c r="F708" s="21">
        <f t="shared" ref="F708" si="251">F709</f>
        <v>240.2</v>
      </c>
    </row>
    <row r="709" spans="1:6" ht="33" customHeight="1">
      <c r="A709" s="211" t="s">
        <v>93</v>
      </c>
      <c r="B709" s="211">
        <v>1230620320</v>
      </c>
      <c r="C709" s="211">
        <v>240</v>
      </c>
      <c r="D709" s="212" t="s">
        <v>441</v>
      </c>
      <c r="E709" s="21">
        <f>№6!F476+№6!F687</f>
        <v>240.2</v>
      </c>
      <c r="F709" s="21">
        <f>№6!G476+№6!G687</f>
        <v>240.2</v>
      </c>
    </row>
    <row r="710" spans="1:6" ht="31.5">
      <c r="A710" s="211" t="s">
        <v>93</v>
      </c>
      <c r="B710" s="211">
        <v>1230620320</v>
      </c>
      <c r="C710" s="201" t="s">
        <v>109</v>
      </c>
      <c r="D710" s="212" t="s">
        <v>110</v>
      </c>
      <c r="E710" s="21">
        <f>E711</f>
        <v>204</v>
      </c>
      <c r="F710" s="21">
        <f t="shared" ref="F710" si="252">F711</f>
        <v>204</v>
      </c>
    </row>
    <row r="711" spans="1:6">
      <c r="A711" s="211" t="s">
        <v>93</v>
      </c>
      <c r="B711" s="211">
        <v>1230620320</v>
      </c>
      <c r="C711" s="211">
        <v>610</v>
      </c>
      <c r="D711" s="212" t="s">
        <v>123</v>
      </c>
      <c r="E711" s="21">
        <f>№6!F689+№6!F478</f>
        <v>204</v>
      </c>
      <c r="F711" s="21">
        <f>№6!G689+№6!G478</f>
        <v>204</v>
      </c>
    </row>
    <row r="712" spans="1:6" ht="20.45" customHeight="1">
      <c r="A712" s="211" t="s">
        <v>94</v>
      </c>
      <c r="B712" s="211" t="s">
        <v>72</v>
      </c>
      <c r="C712" s="211" t="s">
        <v>72</v>
      </c>
      <c r="D712" s="30" t="s">
        <v>0</v>
      </c>
      <c r="E712" s="21">
        <f>E713</f>
        <v>789.8</v>
      </c>
      <c r="F712" s="21">
        <f t="shared" ref="F712:F715" si="253">F713</f>
        <v>789.8</v>
      </c>
    </row>
    <row r="713" spans="1:6">
      <c r="A713" s="211" t="s">
        <v>94</v>
      </c>
      <c r="B713" s="201" t="s">
        <v>129</v>
      </c>
      <c r="C713" s="201" t="s">
        <v>72</v>
      </c>
      <c r="D713" s="212" t="s">
        <v>124</v>
      </c>
      <c r="E713" s="21">
        <f>E714</f>
        <v>789.8</v>
      </c>
      <c r="F713" s="21">
        <f t="shared" si="253"/>
        <v>789.8</v>
      </c>
    </row>
    <row r="714" spans="1:6" ht="31.5">
      <c r="A714" s="211" t="s">
        <v>94</v>
      </c>
      <c r="B714" s="211">
        <v>9990000000</v>
      </c>
      <c r="C714" s="211"/>
      <c r="D714" s="30" t="s">
        <v>189</v>
      </c>
      <c r="E714" s="21">
        <f>E715</f>
        <v>789.8</v>
      </c>
      <c r="F714" s="21">
        <f t="shared" si="253"/>
        <v>789.8</v>
      </c>
    </row>
    <row r="715" spans="1:6" ht="31.5">
      <c r="A715" s="211" t="s">
        <v>94</v>
      </c>
      <c r="B715" s="211">
        <v>9990200000</v>
      </c>
      <c r="C715" s="30"/>
      <c r="D715" s="30" t="s">
        <v>138</v>
      </c>
      <c r="E715" s="21">
        <f>E716</f>
        <v>789.8</v>
      </c>
      <c r="F715" s="21">
        <f t="shared" si="253"/>
        <v>789.8</v>
      </c>
    </row>
    <row r="716" spans="1:6" ht="47.25">
      <c r="A716" s="211" t="s">
        <v>94</v>
      </c>
      <c r="B716" s="211">
        <v>9990225000</v>
      </c>
      <c r="C716" s="211"/>
      <c r="D716" s="30" t="s">
        <v>139</v>
      </c>
      <c r="E716" s="21">
        <f>E717+E719</f>
        <v>789.8</v>
      </c>
      <c r="F716" s="21">
        <f t="shared" ref="F716" si="254">F717+F719</f>
        <v>789.8</v>
      </c>
    </row>
    <row r="717" spans="1:6" ht="63">
      <c r="A717" s="211" t="s">
        <v>94</v>
      </c>
      <c r="B717" s="211">
        <v>9990225000</v>
      </c>
      <c r="C717" s="201" t="s">
        <v>74</v>
      </c>
      <c r="D717" s="212" t="s">
        <v>2</v>
      </c>
      <c r="E717" s="21">
        <f>E718</f>
        <v>732.4</v>
      </c>
      <c r="F717" s="21">
        <f t="shared" ref="F717" si="255">F718</f>
        <v>732.4</v>
      </c>
    </row>
    <row r="718" spans="1:6" ht="35.450000000000003" customHeight="1">
      <c r="A718" s="211" t="s">
        <v>94</v>
      </c>
      <c r="B718" s="211">
        <v>9990225000</v>
      </c>
      <c r="C718" s="211">
        <v>120</v>
      </c>
      <c r="D718" s="30" t="s">
        <v>443</v>
      </c>
      <c r="E718" s="21">
        <f>№6!F696</f>
        <v>732.4</v>
      </c>
      <c r="F718" s="21">
        <f>№6!G696</f>
        <v>732.4</v>
      </c>
    </row>
    <row r="719" spans="1:6" ht="31.5">
      <c r="A719" s="211" t="s">
        <v>94</v>
      </c>
      <c r="B719" s="211">
        <v>9990225000</v>
      </c>
      <c r="C719" s="201" t="s">
        <v>75</v>
      </c>
      <c r="D719" s="212" t="s">
        <v>107</v>
      </c>
      <c r="E719" s="21">
        <f>E720</f>
        <v>57.4</v>
      </c>
      <c r="F719" s="21">
        <f t="shared" ref="F719" si="256">F720</f>
        <v>57.4</v>
      </c>
    </row>
    <row r="720" spans="1:6" ht="31.9" customHeight="1">
      <c r="A720" s="211" t="s">
        <v>94</v>
      </c>
      <c r="B720" s="211">
        <v>9990225000</v>
      </c>
      <c r="C720" s="211">
        <v>240</v>
      </c>
      <c r="D720" s="212" t="s">
        <v>441</v>
      </c>
      <c r="E720" s="21">
        <f>№6!F698</f>
        <v>57.4</v>
      </c>
      <c r="F720" s="21">
        <f>№6!G698</f>
        <v>57.4</v>
      </c>
    </row>
    <row r="721" spans="1:6">
      <c r="A721" s="19" t="s">
        <v>102</v>
      </c>
      <c r="B721" s="19" t="s">
        <v>72</v>
      </c>
      <c r="C721" s="19" t="s">
        <v>72</v>
      </c>
      <c r="D721" s="26" t="s">
        <v>69</v>
      </c>
      <c r="E721" s="366">
        <f>E722</f>
        <v>2824.2</v>
      </c>
      <c r="F721" s="366">
        <f t="shared" ref="F721:F724" si="257">F722</f>
        <v>2824.2</v>
      </c>
    </row>
    <row r="722" spans="1:6">
      <c r="A722" s="211" t="s">
        <v>70</v>
      </c>
      <c r="B722" s="211" t="s">
        <v>72</v>
      </c>
      <c r="C722" s="211" t="s">
        <v>72</v>
      </c>
      <c r="D722" s="30" t="s">
        <v>71</v>
      </c>
      <c r="E722" s="21">
        <f>E723</f>
        <v>2824.2</v>
      </c>
      <c r="F722" s="21">
        <f t="shared" si="257"/>
        <v>2824.2</v>
      </c>
    </row>
    <row r="723" spans="1:6" ht="47.25">
      <c r="A723" s="211" t="s">
        <v>70</v>
      </c>
      <c r="B723" s="201">
        <v>1200000000</v>
      </c>
      <c r="C723" s="211"/>
      <c r="D723" s="30" t="s">
        <v>231</v>
      </c>
      <c r="E723" s="21">
        <f>E724</f>
        <v>2824.2</v>
      </c>
      <c r="F723" s="21">
        <f t="shared" si="257"/>
        <v>2824.2</v>
      </c>
    </row>
    <row r="724" spans="1:6" ht="31.5">
      <c r="A724" s="211" t="s">
        <v>70</v>
      </c>
      <c r="B724" s="201">
        <v>1240000000</v>
      </c>
      <c r="C724" s="211"/>
      <c r="D724" s="30" t="s">
        <v>162</v>
      </c>
      <c r="E724" s="21">
        <f>E725</f>
        <v>2824.2</v>
      </c>
      <c r="F724" s="21">
        <f t="shared" si="257"/>
        <v>2824.2</v>
      </c>
    </row>
    <row r="725" spans="1:6" ht="21.6" customHeight="1">
      <c r="A725" s="211" t="s">
        <v>70</v>
      </c>
      <c r="B725" s="211">
        <v>1240300000</v>
      </c>
      <c r="C725" s="211"/>
      <c r="D725" s="30" t="s">
        <v>256</v>
      </c>
      <c r="E725" s="21">
        <f>E729+E732+E735+E726</f>
        <v>2824.2</v>
      </c>
      <c r="F725" s="21">
        <f t="shared" ref="F725" si="258">F729+F732+F735+F726</f>
        <v>2824.2</v>
      </c>
    </row>
    <row r="726" spans="1:6" ht="47.25">
      <c r="A726" s="211" t="s">
        <v>70</v>
      </c>
      <c r="B726" s="211">
        <v>1240310320</v>
      </c>
      <c r="C726" s="211"/>
      <c r="D726" s="212" t="s">
        <v>342</v>
      </c>
      <c r="E726" s="21">
        <f>E727</f>
        <v>455.6</v>
      </c>
      <c r="F726" s="21">
        <f t="shared" ref="F726:F727" si="259">F727</f>
        <v>455.6</v>
      </c>
    </row>
    <row r="727" spans="1:6">
      <c r="A727" s="211" t="s">
        <v>70</v>
      </c>
      <c r="B727" s="211">
        <v>1240310320</v>
      </c>
      <c r="C727" s="211" t="s">
        <v>76</v>
      </c>
      <c r="D727" s="212" t="s">
        <v>77</v>
      </c>
      <c r="E727" s="21">
        <f>E728</f>
        <v>455.6</v>
      </c>
      <c r="F727" s="21">
        <f t="shared" si="259"/>
        <v>455.6</v>
      </c>
    </row>
    <row r="728" spans="1:6" ht="47.25">
      <c r="A728" s="211" t="s">
        <v>70</v>
      </c>
      <c r="B728" s="211">
        <v>1240310320</v>
      </c>
      <c r="C728" s="211" t="s">
        <v>187</v>
      </c>
      <c r="D728" s="212" t="s">
        <v>188</v>
      </c>
      <c r="E728" s="21">
        <f>№6!F486</f>
        <v>455.6</v>
      </c>
      <c r="F728" s="21">
        <f>№6!G486</f>
        <v>455.6</v>
      </c>
    </row>
    <row r="729" spans="1:6" ht="34.9" customHeight="1">
      <c r="A729" s="211" t="s">
        <v>70</v>
      </c>
      <c r="B729" s="211">
        <v>1240320360</v>
      </c>
      <c r="C729" s="211"/>
      <c r="D729" s="30" t="s">
        <v>183</v>
      </c>
      <c r="E729" s="21">
        <f>E730</f>
        <v>942.5</v>
      </c>
      <c r="F729" s="21">
        <f t="shared" ref="F729:F730" si="260">F730</f>
        <v>942.5</v>
      </c>
    </row>
    <row r="730" spans="1:6">
      <c r="A730" s="211" t="s">
        <v>70</v>
      </c>
      <c r="B730" s="211">
        <v>1240320360</v>
      </c>
      <c r="C730" s="211" t="s">
        <v>76</v>
      </c>
      <c r="D730" s="30" t="s">
        <v>77</v>
      </c>
      <c r="E730" s="21">
        <f>E731</f>
        <v>942.5</v>
      </c>
      <c r="F730" s="21">
        <f t="shared" si="260"/>
        <v>942.5</v>
      </c>
    </row>
    <row r="731" spans="1:6" ht="47.25">
      <c r="A731" s="211" t="s">
        <v>70</v>
      </c>
      <c r="B731" s="211">
        <v>1240320360</v>
      </c>
      <c r="C731" s="211" t="s">
        <v>187</v>
      </c>
      <c r="D731" s="30" t="s">
        <v>188</v>
      </c>
      <c r="E731" s="21">
        <f>№6!F489</f>
        <v>942.5</v>
      </c>
      <c r="F731" s="21">
        <f>№6!G489</f>
        <v>942.5</v>
      </c>
    </row>
    <row r="732" spans="1:6" ht="47.25">
      <c r="A732" s="211" t="s">
        <v>70</v>
      </c>
      <c r="B732" s="211">
        <v>1240320370</v>
      </c>
      <c r="C732" s="211"/>
      <c r="D732" s="30" t="s">
        <v>184</v>
      </c>
      <c r="E732" s="21">
        <f>E733</f>
        <v>639.6</v>
      </c>
      <c r="F732" s="21">
        <f t="shared" ref="F732:F733" si="261">F733</f>
        <v>639.6</v>
      </c>
    </row>
    <row r="733" spans="1:6">
      <c r="A733" s="211" t="s">
        <v>70</v>
      </c>
      <c r="B733" s="211">
        <v>1240320370</v>
      </c>
      <c r="C733" s="211" t="s">
        <v>76</v>
      </c>
      <c r="D733" s="30" t="s">
        <v>77</v>
      </c>
      <c r="E733" s="21">
        <f>E734</f>
        <v>639.6</v>
      </c>
      <c r="F733" s="21">
        <f t="shared" si="261"/>
        <v>639.6</v>
      </c>
    </row>
    <row r="734" spans="1:6" ht="47.25">
      <c r="A734" s="211" t="s">
        <v>70</v>
      </c>
      <c r="B734" s="211">
        <v>1240320370</v>
      </c>
      <c r="C734" s="211" t="s">
        <v>187</v>
      </c>
      <c r="D734" s="30" t="s">
        <v>188</v>
      </c>
      <c r="E734" s="21">
        <f>№6!F492</f>
        <v>639.6</v>
      </c>
      <c r="F734" s="21">
        <f>№6!G492</f>
        <v>639.6</v>
      </c>
    </row>
    <row r="735" spans="1:6" ht="47.25">
      <c r="A735" s="211" t="s">
        <v>70</v>
      </c>
      <c r="B735" s="211" t="s">
        <v>186</v>
      </c>
      <c r="C735" s="211"/>
      <c r="D735" s="30" t="s">
        <v>185</v>
      </c>
      <c r="E735" s="21">
        <f>E736</f>
        <v>786.5</v>
      </c>
      <c r="F735" s="21">
        <f t="shared" ref="F735:F736" si="262">F736</f>
        <v>786.5</v>
      </c>
    </row>
    <row r="736" spans="1:6">
      <c r="A736" s="211" t="s">
        <v>70</v>
      </c>
      <c r="B736" s="211" t="s">
        <v>186</v>
      </c>
      <c r="C736" s="211" t="s">
        <v>76</v>
      </c>
      <c r="D736" s="30" t="s">
        <v>77</v>
      </c>
      <c r="E736" s="21">
        <f>E737</f>
        <v>786.5</v>
      </c>
      <c r="F736" s="21">
        <f t="shared" si="262"/>
        <v>786.5</v>
      </c>
    </row>
    <row r="737" spans="1:6" ht="47.25">
      <c r="A737" s="211" t="s">
        <v>70</v>
      </c>
      <c r="B737" s="211" t="s">
        <v>186</v>
      </c>
      <c r="C737" s="211" t="s">
        <v>187</v>
      </c>
      <c r="D737" s="30" t="s">
        <v>188</v>
      </c>
      <c r="E737" s="21">
        <f>№6!F495</f>
        <v>786.5</v>
      </c>
      <c r="F737" s="21">
        <f>№6!G495</f>
        <v>786.5</v>
      </c>
    </row>
    <row r="738" spans="1:6">
      <c r="A738" s="19" t="s">
        <v>103</v>
      </c>
      <c r="B738" s="19" t="s">
        <v>72</v>
      </c>
      <c r="C738" s="19" t="s">
        <v>72</v>
      </c>
      <c r="D738" s="26" t="s">
        <v>114</v>
      </c>
      <c r="E738" s="366">
        <f>E739</f>
        <v>80.300000000000011</v>
      </c>
      <c r="F738" s="366">
        <f t="shared" ref="F738" si="263">F739</f>
        <v>80.3</v>
      </c>
    </row>
    <row r="739" spans="1:6" ht="16.5" customHeight="1">
      <c r="A739" s="211" t="s">
        <v>104</v>
      </c>
      <c r="B739" s="211" t="s">
        <v>72</v>
      </c>
      <c r="C739" s="211" t="s">
        <v>72</v>
      </c>
      <c r="D739" s="30" t="s">
        <v>105</v>
      </c>
      <c r="E739" s="21">
        <f t="shared" ref="E739:F743" si="264">E740</f>
        <v>80.300000000000011</v>
      </c>
      <c r="F739" s="21">
        <f t="shared" si="264"/>
        <v>80.3</v>
      </c>
    </row>
    <row r="740" spans="1:6">
      <c r="A740" s="211" t="s">
        <v>104</v>
      </c>
      <c r="B740" s="211">
        <v>9900000000</v>
      </c>
      <c r="C740" s="211"/>
      <c r="D740" s="30" t="s">
        <v>124</v>
      </c>
      <c r="E740" s="21">
        <f t="shared" si="264"/>
        <v>80.300000000000011</v>
      </c>
      <c r="F740" s="21">
        <f t="shared" si="264"/>
        <v>80.3</v>
      </c>
    </row>
    <row r="741" spans="1:6" ht="31.5">
      <c r="A741" s="211" t="s">
        <v>104</v>
      </c>
      <c r="B741" s="211">
        <v>9930000000</v>
      </c>
      <c r="C741" s="211"/>
      <c r="D741" s="30" t="s">
        <v>202</v>
      </c>
      <c r="E741" s="21">
        <f t="shared" si="264"/>
        <v>80.300000000000011</v>
      </c>
      <c r="F741" s="21">
        <f t="shared" si="264"/>
        <v>80.3</v>
      </c>
    </row>
    <row r="742" spans="1:6">
      <c r="A742" s="211" t="s">
        <v>104</v>
      </c>
      <c r="B742" s="211">
        <v>9930020500</v>
      </c>
      <c r="C742" s="211"/>
      <c r="D742" s="30" t="s">
        <v>111</v>
      </c>
      <c r="E742" s="21">
        <f t="shared" si="264"/>
        <v>80.300000000000011</v>
      </c>
      <c r="F742" s="21">
        <f t="shared" si="264"/>
        <v>80.3</v>
      </c>
    </row>
    <row r="743" spans="1:6">
      <c r="A743" s="211" t="s">
        <v>104</v>
      </c>
      <c r="B743" s="211">
        <v>9930020500</v>
      </c>
      <c r="C743" s="211" t="s">
        <v>112</v>
      </c>
      <c r="D743" s="30" t="s">
        <v>113</v>
      </c>
      <c r="E743" s="21">
        <f>E744</f>
        <v>80.300000000000011</v>
      </c>
      <c r="F743" s="21">
        <f t="shared" si="264"/>
        <v>80.3</v>
      </c>
    </row>
    <row r="744" spans="1:6">
      <c r="A744" s="211" t="s">
        <v>104</v>
      </c>
      <c r="B744" s="211">
        <v>9930020500</v>
      </c>
      <c r="C744" s="1" t="s">
        <v>210</v>
      </c>
      <c r="D744" s="23" t="s">
        <v>111</v>
      </c>
      <c r="E744" s="21">
        <f>№6!F549</f>
        <v>80.300000000000011</v>
      </c>
      <c r="F744" s="21">
        <f>№6!G549</f>
        <v>80.3</v>
      </c>
    </row>
  </sheetData>
  <mergeCells count="3">
    <mergeCell ref="A1:F1"/>
    <mergeCell ref="A2:F2"/>
    <mergeCell ref="E3:F3"/>
  </mergeCells>
  <pageMargins left="0.78740157480314965" right="0.19685039370078741" top="0.19685039370078741" bottom="0.19685039370078741" header="0.31496062992125984" footer="0.31496062992125984"/>
  <pageSetup paperSize="9" scale="75" fitToHeight="22" orientation="portrait" r:id="rId1"/>
  <headerFooter>
    <oddFooter>&amp;Ф</oddFooter>
  </headerFooter>
</worksheet>
</file>

<file path=xl/worksheets/sheet8.xml><?xml version="1.0" encoding="utf-8"?>
<worksheet xmlns="http://schemas.openxmlformats.org/spreadsheetml/2006/main" xmlns:r="http://schemas.openxmlformats.org/officeDocument/2006/relationships">
  <sheetPr codeName="Лист14">
    <pageSetUpPr fitToPage="1"/>
  </sheetPr>
  <dimension ref="A1:H537"/>
  <sheetViews>
    <sheetView topLeftCell="A55" workbookViewId="0">
      <selection activeCell="A517" sqref="A517:XFD517"/>
    </sheetView>
  </sheetViews>
  <sheetFormatPr defaultColWidth="8.85546875" defaultRowHeight="15.75"/>
  <cols>
    <col min="1" max="1" width="15" style="41" customWidth="1"/>
    <col min="2" max="2" width="8.7109375" style="41" customWidth="1"/>
    <col min="3" max="3" width="76.140625" style="41" customWidth="1"/>
    <col min="4" max="4" width="12.28515625" style="49" customWidth="1"/>
    <col min="5" max="5" width="13.140625" style="49" customWidth="1"/>
    <col min="6" max="6" width="8.85546875" style="41"/>
    <col min="7" max="8" width="13.85546875" style="41" bestFit="1" customWidth="1"/>
    <col min="9" max="16384" width="8.85546875" style="41"/>
  </cols>
  <sheetData>
    <row r="1" spans="1:8" ht="51.6" customHeight="1">
      <c r="A1" s="346" t="s">
        <v>882</v>
      </c>
      <c r="B1" s="346"/>
      <c r="C1" s="346"/>
      <c r="D1" s="346"/>
      <c r="E1" s="346"/>
    </row>
    <row r="2" spans="1:8" ht="39" customHeight="1">
      <c r="A2" s="347" t="s">
        <v>480</v>
      </c>
      <c r="B2" s="347"/>
      <c r="C2" s="347"/>
      <c r="D2" s="347"/>
      <c r="E2" s="347"/>
    </row>
    <row r="3" spans="1:8">
      <c r="D3" s="348" t="s">
        <v>478</v>
      </c>
      <c r="E3" s="348"/>
    </row>
    <row r="4" spans="1:8" ht="49.5" customHeight="1">
      <c r="A4" s="219" t="s">
        <v>21</v>
      </c>
      <c r="B4" s="219" t="s">
        <v>22</v>
      </c>
      <c r="C4" s="219" t="s">
        <v>23</v>
      </c>
      <c r="D4" s="208" t="s">
        <v>473</v>
      </c>
      <c r="E4" s="208" t="s">
        <v>475</v>
      </c>
      <c r="H4" s="220"/>
    </row>
    <row r="5" spans="1:8">
      <c r="A5" s="61" t="s">
        <v>5</v>
      </c>
      <c r="B5" s="61" t="s">
        <v>83</v>
      </c>
      <c r="C5" s="61" t="s">
        <v>84</v>
      </c>
      <c r="D5" s="62" t="s">
        <v>85</v>
      </c>
      <c r="E5" s="62" t="s">
        <v>86</v>
      </c>
    </row>
    <row r="6" spans="1:8">
      <c r="A6" s="42" t="s">
        <v>72</v>
      </c>
      <c r="B6" s="42" t="s">
        <v>72</v>
      </c>
      <c r="C6" s="43" t="s">
        <v>1</v>
      </c>
      <c r="D6" s="46">
        <f>D7+D113+D264+D319+D351+D376+D444</f>
        <v>884454.3</v>
      </c>
      <c r="E6" s="46">
        <f>E7+E113+E264+E319+E351+E376+E444</f>
        <v>817837.30000000016</v>
      </c>
    </row>
    <row r="7" spans="1:8" ht="31.5">
      <c r="A7" s="39">
        <v>1100000000</v>
      </c>
      <c r="B7" s="44"/>
      <c r="C7" s="32" t="s">
        <v>236</v>
      </c>
      <c r="D7" s="47">
        <f>D8+D64+D88</f>
        <v>492835.39999999997</v>
      </c>
      <c r="E7" s="47">
        <f>E8+E64+E88</f>
        <v>492730.7</v>
      </c>
    </row>
    <row r="8" spans="1:8" ht="16.149999999999999" customHeight="1">
      <c r="A8" s="58">
        <v>1110000000</v>
      </c>
      <c r="B8" s="58"/>
      <c r="C8" s="59" t="s">
        <v>214</v>
      </c>
      <c r="D8" s="48">
        <f>D9+D25+D31+D38+D47+D57</f>
        <v>442163.19999999995</v>
      </c>
      <c r="E8" s="48">
        <f>E9+E25+E31+E38+E47+E57</f>
        <v>442080.5</v>
      </c>
    </row>
    <row r="9" spans="1:8" ht="47.25">
      <c r="A9" s="58">
        <v>1110100000</v>
      </c>
      <c r="B9" s="30"/>
      <c r="C9" s="59" t="s">
        <v>215</v>
      </c>
      <c r="D9" s="48">
        <f>D19+D13+D16+D10+D22</f>
        <v>409795.1</v>
      </c>
      <c r="E9" s="48">
        <f>E19+E13+E16+E10+E22</f>
        <v>409795.10000000003</v>
      </c>
    </row>
    <row r="10" spans="1:8" ht="47.25">
      <c r="A10" s="11" t="s">
        <v>348</v>
      </c>
      <c r="B10" s="13"/>
      <c r="C10" s="9" t="s">
        <v>349</v>
      </c>
      <c r="D10" s="48">
        <f>D11</f>
        <v>17348.099999999999</v>
      </c>
      <c r="E10" s="48">
        <f>E11</f>
        <v>17348.100000000002</v>
      </c>
    </row>
    <row r="11" spans="1:8" ht="31.5">
      <c r="A11" s="11" t="s">
        <v>348</v>
      </c>
      <c r="B11" s="83" t="s">
        <v>109</v>
      </c>
      <c r="C11" s="82" t="s">
        <v>110</v>
      </c>
      <c r="D11" s="48">
        <f>D12</f>
        <v>17348.099999999999</v>
      </c>
      <c r="E11" s="48">
        <f>E12</f>
        <v>17348.100000000002</v>
      </c>
    </row>
    <row r="12" spans="1:8">
      <c r="A12" s="11" t="s">
        <v>348</v>
      </c>
      <c r="B12" s="81">
        <v>610</v>
      </c>
      <c r="C12" s="82" t="s">
        <v>123</v>
      </c>
      <c r="D12" s="48">
        <f>№7!E359+№7!E385</f>
        <v>17348.099999999999</v>
      </c>
      <c r="E12" s="48">
        <f>№7!F359+№7!F385</f>
        <v>17348.100000000002</v>
      </c>
    </row>
    <row r="13" spans="1:8" ht="47.25">
      <c r="A13" s="11" t="s">
        <v>217</v>
      </c>
      <c r="B13" s="13"/>
      <c r="C13" s="9" t="s">
        <v>122</v>
      </c>
      <c r="D13" s="48">
        <f>D14</f>
        <v>97137.3</v>
      </c>
      <c r="E13" s="48">
        <f>E14</f>
        <v>97137.3</v>
      </c>
    </row>
    <row r="14" spans="1:8" ht="31.5">
      <c r="A14" s="11" t="s">
        <v>217</v>
      </c>
      <c r="B14" s="60" t="s">
        <v>109</v>
      </c>
      <c r="C14" s="59" t="s">
        <v>110</v>
      </c>
      <c r="D14" s="48">
        <f>D15</f>
        <v>97137.3</v>
      </c>
      <c r="E14" s="48">
        <f>E15</f>
        <v>97137.3</v>
      </c>
    </row>
    <row r="15" spans="1:8">
      <c r="A15" s="11" t="s">
        <v>217</v>
      </c>
      <c r="B15" s="58">
        <v>610</v>
      </c>
      <c r="C15" s="59" t="s">
        <v>123</v>
      </c>
      <c r="D15" s="48">
        <f>№7!E362</f>
        <v>97137.3</v>
      </c>
      <c r="E15" s="48">
        <f>№7!F362</f>
        <v>97137.3</v>
      </c>
    </row>
    <row r="16" spans="1:8" ht="78.75">
      <c r="A16" s="58">
        <v>1110110750</v>
      </c>
      <c r="B16" s="58"/>
      <c r="C16" s="59" t="s">
        <v>218</v>
      </c>
      <c r="D16" s="48">
        <f>D17</f>
        <v>183189.09999999998</v>
      </c>
      <c r="E16" s="48">
        <f>E17</f>
        <v>183189.1</v>
      </c>
    </row>
    <row r="17" spans="1:5" ht="31.5">
      <c r="A17" s="58">
        <v>1110110750</v>
      </c>
      <c r="B17" s="60" t="s">
        <v>109</v>
      </c>
      <c r="C17" s="59" t="s">
        <v>110</v>
      </c>
      <c r="D17" s="48">
        <f>D18</f>
        <v>183189.09999999998</v>
      </c>
      <c r="E17" s="48">
        <f>E18</f>
        <v>183189.1</v>
      </c>
    </row>
    <row r="18" spans="1:5">
      <c r="A18" s="58">
        <v>1110110750</v>
      </c>
      <c r="B18" s="58">
        <v>610</v>
      </c>
      <c r="C18" s="59" t="s">
        <v>123</v>
      </c>
      <c r="D18" s="48">
        <f>№7!E388</f>
        <v>183189.09999999998</v>
      </c>
      <c r="E18" s="48">
        <f>№7!F388</f>
        <v>183189.1</v>
      </c>
    </row>
    <row r="19" spans="1:5" ht="31.5">
      <c r="A19" s="11" t="s">
        <v>216</v>
      </c>
      <c r="B19" s="11"/>
      <c r="C19" s="9" t="s">
        <v>144</v>
      </c>
      <c r="D19" s="48">
        <f>D20</f>
        <v>110385.90000000001</v>
      </c>
      <c r="E19" s="48">
        <f>E20</f>
        <v>110385.9</v>
      </c>
    </row>
    <row r="20" spans="1:5" ht="31.5">
      <c r="A20" s="11" t="s">
        <v>216</v>
      </c>
      <c r="B20" s="60" t="s">
        <v>109</v>
      </c>
      <c r="C20" s="59" t="s">
        <v>110</v>
      </c>
      <c r="D20" s="48">
        <f>D21</f>
        <v>110385.90000000001</v>
      </c>
      <c r="E20" s="48">
        <f>E21</f>
        <v>110385.9</v>
      </c>
    </row>
    <row r="21" spans="1:5">
      <c r="A21" s="11" t="s">
        <v>216</v>
      </c>
      <c r="B21" s="58">
        <v>610</v>
      </c>
      <c r="C21" s="59" t="s">
        <v>123</v>
      </c>
      <c r="D21" s="48">
        <f>№7!E365+№7!E389</f>
        <v>110385.90000000001</v>
      </c>
      <c r="E21" s="48">
        <f>№7!F365+№7!F389</f>
        <v>110385.9</v>
      </c>
    </row>
    <row r="22" spans="1:5" ht="47.25">
      <c r="A22" s="11" t="s">
        <v>351</v>
      </c>
      <c r="B22" s="13"/>
      <c r="C22" s="9" t="s">
        <v>354</v>
      </c>
      <c r="D22" s="48">
        <f>D23</f>
        <v>1734.6999999999998</v>
      </c>
      <c r="E22" s="48">
        <f>E23</f>
        <v>1734.7</v>
      </c>
    </row>
    <row r="23" spans="1:5" ht="31.5">
      <c r="A23" s="11" t="s">
        <v>351</v>
      </c>
      <c r="B23" s="86" t="s">
        <v>109</v>
      </c>
      <c r="C23" s="85" t="s">
        <v>110</v>
      </c>
      <c r="D23" s="48">
        <f>D24</f>
        <v>1734.6999999999998</v>
      </c>
      <c r="E23" s="48">
        <f>E24</f>
        <v>1734.7</v>
      </c>
    </row>
    <row r="24" spans="1:5">
      <c r="A24" s="11" t="s">
        <v>351</v>
      </c>
      <c r="B24" s="84">
        <v>610</v>
      </c>
      <c r="C24" s="85" t="s">
        <v>123</v>
      </c>
      <c r="D24" s="48">
        <f>№7!E368+№7!E394</f>
        <v>1734.6999999999998</v>
      </c>
      <c r="E24" s="48">
        <f>№7!F368+№7!F394</f>
        <v>1734.7</v>
      </c>
    </row>
    <row r="25" spans="1:5" ht="31.5">
      <c r="A25" s="58">
        <v>1110200000</v>
      </c>
      <c r="B25" s="58"/>
      <c r="C25" s="59" t="s">
        <v>230</v>
      </c>
      <c r="D25" s="48">
        <f>D26</f>
        <v>10448.6</v>
      </c>
      <c r="E25" s="48">
        <f>E26</f>
        <v>10448.6</v>
      </c>
    </row>
    <row r="26" spans="1:5" ht="78.75">
      <c r="A26" s="58">
        <v>1110210500</v>
      </c>
      <c r="B26" s="58"/>
      <c r="C26" s="59" t="s">
        <v>305</v>
      </c>
      <c r="D26" s="48">
        <f>D27+D29</f>
        <v>10448.6</v>
      </c>
      <c r="E26" s="48">
        <f>E27+E29</f>
        <v>10448.6</v>
      </c>
    </row>
    <row r="27" spans="1:5" ht="31.5">
      <c r="A27" s="58">
        <v>1110210500</v>
      </c>
      <c r="B27" s="58" t="s">
        <v>75</v>
      </c>
      <c r="C27" s="59" t="s">
        <v>107</v>
      </c>
      <c r="D27" s="48">
        <f>D28</f>
        <v>244.60000000000002</v>
      </c>
      <c r="E27" s="48">
        <f>E28</f>
        <v>244.6</v>
      </c>
    </row>
    <row r="28" spans="1:5" ht="33" customHeight="1">
      <c r="A28" s="58">
        <v>1110210500</v>
      </c>
      <c r="B28" s="58">
        <v>240</v>
      </c>
      <c r="C28" s="59" t="s">
        <v>441</v>
      </c>
      <c r="D28" s="48">
        <f>№7!E654</f>
        <v>244.60000000000002</v>
      </c>
      <c r="E28" s="48">
        <f>№7!F654</f>
        <v>244.6</v>
      </c>
    </row>
    <row r="29" spans="1:5">
      <c r="A29" s="58">
        <v>1110210500</v>
      </c>
      <c r="B29" s="58" t="s">
        <v>79</v>
      </c>
      <c r="C29" s="59" t="s">
        <v>80</v>
      </c>
      <c r="D29" s="48">
        <f>D30</f>
        <v>10204</v>
      </c>
      <c r="E29" s="48">
        <f>E30</f>
        <v>10204</v>
      </c>
    </row>
    <row r="30" spans="1:5" ht="31.5">
      <c r="A30" s="58">
        <v>1110210500</v>
      </c>
      <c r="B30" s="1" t="s">
        <v>120</v>
      </c>
      <c r="C30" s="22" t="s">
        <v>121</v>
      </c>
      <c r="D30" s="48">
        <f>№7!E656</f>
        <v>10204</v>
      </c>
      <c r="E30" s="48">
        <f>№7!F656</f>
        <v>10204</v>
      </c>
    </row>
    <row r="31" spans="1:5" ht="31.5">
      <c r="A31" s="58">
        <v>1110300000</v>
      </c>
      <c r="B31" s="58"/>
      <c r="C31" s="59" t="s">
        <v>219</v>
      </c>
      <c r="D31" s="48">
        <f>D35+D32</f>
        <v>8326</v>
      </c>
      <c r="E31" s="48">
        <f>E35+E32</f>
        <v>8326</v>
      </c>
    </row>
    <row r="32" spans="1:5" ht="47.25">
      <c r="A32" s="58">
        <v>1110310230</v>
      </c>
      <c r="B32" s="58"/>
      <c r="C32" s="59" t="s">
        <v>299</v>
      </c>
      <c r="D32" s="48">
        <f>D33</f>
        <v>4163</v>
      </c>
      <c r="E32" s="48">
        <f>E33</f>
        <v>4163</v>
      </c>
    </row>
    <row r="33" spans="1:5" ht="31.5">
      <c r="A33" s="58">
        <v>1110310230</v>
      </c>
      <c r="B33" s="60" t="s">
        <v>109</v>
      </c>
      <c r="C33" s="59" t="s">
        <v>110</v>
      </c>
      <c r="D33" s="48">
        <f>D34</f>
        <v>4163</v>
      </c>
      <c r="E33" s="48">
        <f>E34</f>
        <v>4163</v>
      </c>
    </row>
    <row r="34" spans="1:5">
      <c r="A34" s="58">
        <v>1110310230</v>
      </c>
      <c r="B34" s="58">
        <v>610</v>
      </c>
      <c r="C34" s="59" t="s">
        <v>123</v>
      </c>
      <c r="D34" s="48">
        <f>№7!E398</f>
        <v>4163</v>
      </c>
      <c r="E34" s="48">
        <f>№7!F398</f>
        <v>4163</v>
      </c>
    </row>
    <row r="35" spans="1:5" ht="47.25">
      <c r="A35" s="58" t="s">
        <v>221</v>
      </c>
      <c r="B35" s="58"/>
      <c r="C35" s="59" t="s">
        <v>220</v>
      </c>
      <c r="D35" s="48">
        <f t="shared" ref="D35:E36" si="0">D36</f>
        <v>4163</v>
      </c>
      <c r="E35" s="48">
        <f t="shared" si="0"/>
        <v>4163</v>
      </c>
    </row>
    <row r="36" spans="1:5" ht="31.5">
      <c r="A36" s="58" t="s">
        <v>221</v>
      </c>
      <c r="B36" s="60" t="s">
        <v>109</v>
      </c>
      <c r="C36" s="59" t="s">
        <v>110</v>
      </c>
      <c r="D36" s="48">
        <f t="shared" si="0"/>
        <v>4163</v>
      </c>
      <c r="E36" s="48">
        <f t="shared" si="0"/>
        <v>4163</v>
      </c>
    </row>
    <row r="37" spans="1:5">
      <c r="A37" s="58" t="s">
        <v>221</v>
      </c>
      <c r="B37" s="58">
        <v>610</v>
      </c>
      <c r="C37" s="59" t="s">
        <v>123</v>
      </c>
      <c r="D37" s="48">
        <f>№7!E401</f>
        <v>4163</v>
      </c>
      <c r="E37" s="48">
        <f>№7!F401</f>
        <v>4163</v>
      </c>
    </row>
    <row r="38" spans="1:5">
      <c r="A38" s="58">
        <v>1110400000</v>
      </c>
      <c r="B38" s="58"/>
      <c r="C38" s="30" t="s">
        <v>225</v>
      </c>
      <c r="D38" s="48">
        <f>D44+D39</f>
        <v>3367.8999999999996</v>
      </c>
      <c r="E38" s="48">
        <f>E44+E39</f>
        <v>3367.5</v>
      </c>
    </row>
    <row r="39" spans="1:5" ht="31.5">
      <c r="A39" s="58">
        <v>1110410240</v>
      </c>
      <c r="B39" s="58"/>
      <c r="C39" s="59" t="s">
        <v>298</v>
      </c>
      <c r="D39" s="48">
        <f>D40+D42</f>
        <v>3209.2</v>
      </c>
      <c r="E39" s="48">
        <f>E40+E42</f>
        <v>3208.8</v>
      </c>
    </row>
    <row r="40" spans="1:5">
      <c r="A40" s="58">
        <v>1110410240</v>
      </c>
      <c r="B40" s="1" t="s">
        <v>79</v>
      </c>
      <c r="C40" s="36" t="s">
        <v>80</v>
      </c>
      <c r="D40" s="48">
        <f>D41</f>
        <v>49.300000000000011</v>
      </c>
      <c r="E40" s="48">
        <f>E41</f>
        <v>48.9</v>
      </c>
    </row>
    <row r="41" spans="1:5" ht="31.5">
      <c r="A41" s="58">
        <v>1110410240</v>
      </c>
      <c r="B41" s="58">
        <v>320</v>
      </c>
      <c r="C41" s="59" t="s">
        <v>121</v>
      </c>
      <c r="D41" s="48">
        <f>№7!E497</f>
        <v>49.300000000000011</v>
      </c>
      <c r="E41" s="48">
        <f>№7!F497</f>
        <v>48.9</v>
      </c>
    </row>
    <row r="42" spans="1:5" ht="31.5">
      <c r="A42" s="58">
        <v>1110410240</v>
      </c>
      <c r="B42" s="60" t="s">
        <v>109</v>
      </c>
      <c r="C42" s="59" t="s">
        <v>110</v>
      </c>
      <c r="D42" s="48">
        <f>D43</f>
        <v>3159.8999999999996</v>
      </c>
      <c r="E42" s="48">
        <f>E43</f>
        <v>3159.9</v>
      </c>
    </row>
    <row r="43" spans="1:5">
      <c r="A43" s="58">
        <v>1110410240</v>
      </c>
      <c r="B43" s="58">
        <v>610</v>
      </c>
      <c r="C43" s="59" t="s">
        <v>123</v>
      </c>
      <c r="D43" s="48">
        <f>№7!E499</f>
        <v>3159.8999999999996</v>
      </c>
      <c r="E43" s="48">
        <f>№7!F499</f>
        <v>3159.9</v>
      </c>
    </row>
    <row r="44" spans="1:5" ht="31.5">
      <c r="A44" s="58" t="s">
        <v>227</v>
      </c>
      <c r="B44" s="58"/>
      <c r="C44" s="30" t="s">
        <v>226</v>
      </c>
      <c r="D44" s="48">
        <f>D45</f>
        <v>158.69999999999999</v>
      </c>
      <c r="E44" s="48">
        <f>E45</f>
        <v>158.69999999999999</v>
      </c>
    </row>
    <row r="45" spans="1:5">
      <c r="A45" s="58" t="s">
        <v>227</v>
      </c>
      <c r="B45" s="1" t="s">
        <v>79</v>
      </c>
      <c r="C45" s="2" t="s">
        <v>80</v>
      </c>
      <c r="D45" s="48">
        <f>D46</f>
        <v>158.69999999999999</v>
      </c>
      <c r="E45" s="48">
        <f>E46</f>
        <v>158.69999999999999</v>
      </c>
    </row>
    <row r="46" spans="1:5" ht="31.5">
      <c r="A46" s="58" t="s">
        <v>227</v>
      </c>
      <c r="B46" s="58">
        <v>320</v>
      </c>
      <c r="C46" s="59" t="s">
        <v>121</v>
      </c>
      <c r="D46" s="48">
        <f>№7!E502</f>
        <v>158.69999999999999</v>
      </c>
      <c r="E46" s="48">
        <f>№7!F502</f>
        <v>158.69999999999999</v>
      </c>
    </row>
    <row r="47" spans="1:5" ht="63">
      <c r="A47" s="58">
        <v>1110500000</v>
      </c>
      <c r="B47" s="58"/>
      <c r="C47" s="59" t="s">
        <v>222</v>
      </c>
      <c r="D47" s="48">
        <f>D54+D48+D51</f>
        <v>9963.6</v>
      </c>
      <c r="E47" s="48">
        <f>E54+E48+E51</f>
        <v>9881.2999999999993</v>
      </c>
    </row>
    <row r="48" spans="1:5" ht="32.25" customHeight="1">
      <c r="A48" s="58">
        <v>1110510440</v>
      </c>
      <c r="B48" s="58"/>
      <c r="C48" s="59" t="s">
        <v>314</v>
      </c>
      <c r="D48" s="48">
        <f>D49</f>
        <v>6050.0999999999995</v>
      </c>
      <c r="E48" s="48">
        <f>E49</f>
        <v>5967.8</v>
      </c>
    </row>
    <row r="49" spans="1:5" ht="31.5">
      <c r="A49" s="58">
        <v>1110510440</v>
      </c>
      <c r="B49" s="60" t="s">
        <v>109</v>
      </c>
      <c r="C49" s="59" t="s">
        <v>110</v>
      </c>
      <c r="D49" s="48">
        <f>D50</f>
        <v>6050.0999999999995</v>
      </c>
      <c r="E49" s="48">
        <f>E50</f>
        <v>5967.8</v>
      </c>
    </row>
    <row r="50" spans="1:5">
      <c r="A50" s="58">
        <v>1110510440</v>
      </c>
      <c r="B50" s="58">
        <v>610</v>
      </c>
      <c r="C50" s="59" t="s">
        <v>123</v>
      </c>
      <c r="D50" s="48">
        <f>№7!E405</f>
        <v>6050.0999999999995</v>
      </c>
      <c r="E50" s="48">
        <f>№7!F405</f>
        <v>5967.8</v>
      </c>
    </row>
    <row r="51" spans="1:5">
      <c r="A51" s="11" t="s">
        <v>323</v>
      </c>
      <c r="B51" s="66"/>
      <c r="C51" s="67" t="s">
        <v>324</v>
      </c>
      <c r="D51" s="48">
        <f>D52</f>
        <v>1763</v>
      </c>
      <c r="E51" s="48">
        <f>E52</f>
        <v>1763</v>
      </c>
    </row>
    <row r="52" spans="1:5" ht="31.5">
      <c r="A52" s="11" t="s">
        <v>323</v>
      </c>
      <c r="B52" s="68" t="s">
        <v>109</v>
      </c>
      <c r="C52" s="67" t="s">
        <v>110</v>
      </c>
      <c r="D52" s="48">
        <f>D53</f>
        <v>1763</v>
      </c>
      <c r="E52" s="48">
        <f>E53</f>
        <v>1763</v>
      </c>
    </row>
    <row r="53" spans="1:5">
      <c r="A53" s="11" t="s">
        <v>323</v>
      </c>
      <c r="B53" s="66">
        <v>610</v>
      </c>
      <c r="C53" s="67" t="s">
        <v>123</v>
      </c>
      <c r="D53" s="48">
        <f>№7!E372+№7!E411</f>
        <v>1763</v>
      </c>
      <c r="E53" s="48">
        <f>№7!F372+№7!F411</f>
        <v>1763</v>
      </c>
    </row>
    <row r="54" spans="1:5" ht="31.5">
      <c r="A54" s="58" t="s">
        <v>223</v>
      </c>
      <c r="B54" s="58"/>
      <c r="C54" s="59" t="s">
        <v>306</v>
      </c>
      <c r="D54" s="48">
        <f>D55</f>
        <v>2150.5000000000005</v>
      </c>
      <c r="E54" s="48">
        <f>E55</f>
        <v>2150.5</v>
      </c>
    </row>
    <row r="55" spans="1:5" ht="31.5">
      <c r="A55" s="58" t="s">
        <v>223</v>
      </c>
      <c r="B55" s="60" t="s">
        <v>109</v>
      </c>
      <c r="C55" s="59" t="s">
        <v>110</v>
      </c>
      <c r="D55" s="48">
        <f>D56</f>
        <v>2150.5000000000005</v>
      </c>
      <c r="E55" s="48">
        <f>E56</f>
        <v>2150.5</v>
      </c>
    </row>
    <row r="56" spans="1:5">
      <c r="A56" s="58" t="s">
        <v>223</v>
      </c>
      <c r="B56" s="58">
        <v>610</v>
      </c>
      <c r="C56" s="59" t="s">
        <v>123</v>
      </c>
      <c r="D56" s="48">
        <f>№7!E408</f>
        <v>2150.5000000000005</v>
      </c>
      <c r="E56" s="48">
        <f>№7!F408</f>
        <v>2150.5</v>
      </c>
    </row>
    <row r="57" spans="1:5" ht="48" customHeight="1">
      <c r="A57" s="58">
        <v>1110600000</v>
      </c>
      <c r="B57" s="58"/>
      <c r="C57" s="59" t="s">
        <v>290</v>
      </c>
      <c r="D57" s="48">
        <f>D61+D58</f>
        <v>262</v>
      </c>
      <c r="E57" s="48">
        <f>E61+E58</f>
        <v>262</v>
      </c>
    </row>
    <row r="58" spans="1:5" ht="31.5">
      <c r="A58" s="58">
        <v>1110610440</v>
      </c>
      <c r="B58" s="58"/>
      <c r="C58" s="59" t="s">
        <v>306</v>
      </c>
      <c r="D58" s="48">
        <f>D59</f>
        <v>131</v>
      </c>
      <c r="E58" s="48">
        <f>E59</f>
        <v>131</v>
      </c>
    </row>
    <row r="59" spans="1:5" ht="31.5">
      <c r="A59" s="58">
        <v>1110610440</v>
      </c>
      <c r="B59" s="60" t="s">
        <v>109</v>
      </c>
      <c r="C59" s="59" t="s">
        <v>110</v>
      </c>
      <c r="D59" s="48">
        <f>D60</f>
        <v>131</v>
      </c>
      <c r="E59" s="48">
        <f>E60</f>
        <v>131</v>
      </c>
    </row>
    <row r="60" spans="1:5">
      <c r="A60" s="58">
        <v>1110610440</v>
      </c>
      <c r="B60" s="58">
        <v>610</v>
      </c>
      <c r="C60" s="59" t="s">
        <v>123</v>
      </c>
      <c r="D60" s="48">
        <f>№7!E415</f>
        <v>131</v>
      </c>
      <c r="E60" s="48">
        <f>№7!F415</f>
        <v>131</v>
      </c>
    </row>
    <row r="61" spans="1:5" ht="31.5">
      <c r="A61" s="58" t="s">
        <v>289</v>
      </c>
      <c r="B61" s="58"/>
      <c r="C61" s="59" t="s">
        <v>306</v>
      </c>
      <c r="D61" s="48">
        <f>D62</f>
        <v>131</v>
      </c>
      <c r="E61" s="48">
        <f>E62</f>
        <v>131</v>
      </c>
    </row>
    <row r="62" spans="1:5" ht="31.5">
      <c r="A62" s="58" t="s">
        <v>289</v>
      </c>
      <c r="B62" s="60" t="s">
        <v>109</v>
      </c>
      <c r="C62" s="59" t="s">
        <v>110</v>
      </c>
      <c r="D62" s="48">
        <f>D63</f>
        <v>131</v>
      </c>
      <c r="E62" s="48">
        <f>E63</f>
        <v>131</v>
      </c>
    </row>
    <row r="63" spans="1:5">
      <c r="A63" s="58" t="s">
        <v>289</v>
      </c>
      <c r="B63" s="58">
        <v>610</v>
      </c>
      <c r="C63" s="59" t="s">
        <v>123</v>
      </c>
      <c r="D63" s="48">
        <f>№7!E418</f>
        <v>131</v>
      </c>
      <c r="E63" s="48">
        <f>№7!F418</f>
        <v>131</v>
      </c>
    </row>
    <row r="64" spans="1:5">
      <c r="A64" s="58">
        <v>1120000000</v>
      </c>
      <c r="B64" s="58"/>
      <c r="C64" s="59" t="s">
        <v>142</v>
      </c>
      <c r="D64" s="48">
        <f>D65+D81</f>
        <v>49805.7</v>
      </c>
      <c r="E64" s="48">
        <f>E65+E81</f>
        <v>49783.7</v>
      </c>
    </row>
    <row r="65" spans="1:5" ht="47.25">
      <c r="A65" s="58">
        <v>1120100000</v>
      </c>
      <c r="B65" s="58"/>
      <c r="C65" s="59" t="s">
        <v>143</v>
      </c>
      <c r="D65" s="48">
        <f>D72+D69+D78+D66+D75</f>
        <v>48988.1</v>
      </c>
      <c r="E65" s="48">
        <f>E72+E69+E78+E66+E75</f>
        <v>48988.1</v>
      </c>
    </row>
    <row r="66" spans="1:5" ht="47.25">
      <c r="A66" s="11" t="s">
        <v>350</v>
      </c>
      <c r="B66" s="13"/>
      <c r="C66" s="9" t="s">
        <v>349</v>
      </c>
      <c r="D66" s="48">
        <f>D67</f>
        <v>1103.6000000000001</v>
      </c>
      <c r="E66" s="48">
        <f>E67</f>
        <v>1103.5999999999999</v>
      </c>
    </row>
    <row r="67" spans="1:5" ht="31.5">
      <c r="A67" s="11" t="s">
        <v>350</v>
      </c>
      <c r="B67" s="83" t="s">
        <v>109</v>
      </c>
      <c r="C67" s="82" t="s">
        <v>110</v>
      </c>
      <c r="D67" s="48">
        <f>D68</f>
        <v>1103.6000000000001</v>
      </c>
      <c r="E67" s="48">
        <f>E68</f>
        <v>1103.5999999999999</v>
      </c>
    </row>
    <row r="68" spans="1:5">
      <c r="A68" s="11" t="s">
        <v>350</v>
      </c>
      <c r="B68" s="81">
        <v>610</v>
      </c>
      <c r="C68" s="82" t="s">
        <v>123</v>
      </c>
      <c r="D68" s="48">
        <f>№7!E453</f>
        <v>1103.6000000000001</v>
      </c>
      <c r="E68" s="48">
        <f>№7!F453</f>
        <v>1103.5999999999999</v>
      </c>
    </row>
    <row r="69" spans="1:5" ht="47.25">
      <c r="A69" s="58">
        <v>1120110690</v>
      </c>
      <c r="B69" s="58"/>
      <c r="C69" s="59" t="s">
        <v>303</v>
      </c>
      <c r="D69" s="48">
        <f>D70</f>
        <v>7399.8</v>
      </c>
      <c r="E69" s="48">
        <f>E70</f>
        <v>7399.9</v>
      </c>
    </row>
    <row r="70" spans="1:5" ht="31.5">
      <c r="A70" s="58">
        <v>1120110690</v>
      </c>
      <c r="B70" s="60" t="s">
        <v>109</v>
      </c>
      <c r="C70" s="59" t="s">
        <v>110</v>
      </c>
      <c r="D70" s="48">
        <f>D71</f>
        <v>7399.8</v>
      </c>
      <c r="E70" s="48">
        <f>E71</f>
        <v>7399.9</v>
      </c>
    </row>
    <row r="71" spans="1:5">
      <c r="A71" s="58">
        <v>1120110690</v>
      </c>
      <c r="B71" s="58">
        <v>610</v>
      </c>
      <c r="C71" s="59" t="s">
        <v>123</v>
      </c>
      <c r="D71" s="48">
        <f>№7!E456</f>
        <v>7399.8</v>
      </c>
      <c r="E71" s="48">
        <f>№7!F456</f>
        <v>7399.9</v>
      </c>
    </row>
    <row r="72" spans="1:5" ht="31.5">
      <c r="A72" s="58">
        <v>1120120010</v>
      </c>
      <c r="B72" s="58"/>
      <c r="C72" s="59" t="s">
        <v>144</v>
      </c>
      <c r="D72" s="48">
        <f>D73</f>
        <v>39930.1</v>
      </c>
      <c r="E72" s="48">
        <f>E73</f>
        <v>39930.1</v>
      </c>
    </row>
    <row r="73" spans="1:5" ht="31.5">
      <c r="A73" s="58">
        <v>1120120010</v>
      </c>
      <c r="B73" s="60" t="s">
        <v>109</v>
      </c>
      <c r="C73" s="59" t="s">
        <v>110</v>
      </c>
      <c r="D73" s="48">
        <f>D74</f>
        <v>39930.1</v>
      </c>
      <c r="E73" s="48">
        <f>E74</f>
        <v>39930.1</v>
      </c>
    </row>
    <row r="74" spans="1:5">
      <c r="A74" s="58">
        <v>1120120010</v>
      </c>
      <c r="B74" s="58">
        <v>610</v>
      </c>
      <c r="C74" s="59" t="s">
        <v>123</v>
      </c>
      <c r="D74" s="48">
        <f>№7!E459+№7!E423</f>
        <v>39930.1</v>
      </c>
      <c r="E74" s="48">
        <f>№7!F459+№7!F423</f>
        <v>39930.1</v>
      </c>
    </row>
    <row r="75" spans="1:5" ht="47.25">
      <c r="A75" s="11" t="s">
        <v>352</v>
      </c>
      <c r="B75" s="13"/>
      <c r="C75" s="9" t="s">
        <v>354</v>
      </c>
      <c r="D75" s="48">
        <f>D76</f>
        <v>110.5</v>
      </c>
      <c r="E75" s="48">
        <f>E76</f>
        <v>110.5</v>
      </c>
    </row>
    <row r="76" spans="1:5" ht="31.5">
      <c r="A76" s="11" t="s">
        <v>352</v>
      </c>
      <c r="B76" s="86" t="s">
        <v>109</v>
      </c>
      <c r="C76" s="85" t="s">
        <v>110</v>
      </c>
      <c r="D76" s="48">
        <f>D77</f>
        <v>110.5</v>
      </c>
      <c r="E76" s="48">
        <f>E77</f>
        <v>110.5</v>
      </c>
    </row>
    <row r="77" spans="1:5">
      <c r="A77" s="11" t="s">
        <v>352</v>
      </c>
      <c r="B77" s="84">
        <v>610</v>
      </c>
      <c r="C77" s="85" t="s">
        <v>123</v>
      </c>
      <c r="D77" s="48">
        <f>№7!E462</f>
        <v>110.5</v>
      </c>
      <c r="E77" s="48">
        <f>№7!F462</f>
        <v>110.5</v>
      </c>
    </row>
    <row r="78" spans="1:5" ht="47.25">
      <c r="A78" s="58" t="s">
        <v>302</v>
      </c>
      <c r="B78" s="58"/>
      <c r="C78" s="59" t="s">
        <v>304</v>
      </c>
      <c r="D78" s="28">
        <f>D79</f>
        <v>444.1</v>
      </c>
      <c r="E78" s="28">
        <f>E79</f>
        <v>444</v>
      </c>
    </row>
    <row r="79" spans="1:5" ht="31.5">
      <c r="A79" s="58" t="s">
        <v>302</v>
      </c>
      <c r="B79" s="60" t="s">
        <v>109</v>
      </c>
      <c r="C79" s="59" t="s">
        <v>110</v>
      </c>
      <c r="D79" s="28">
        <f>D80</f>
        <v>444.1</v>
      </c>
      <c r="E79" s="28">
        <f>E80</f>
        <v>444</v>
      </c>
    </row>
    <row r="80" spans="1:5">
      <c r="A80" s="58" t="s">
        <v>302</v>
      </c>
      <c r="B80" s="58">
        <v>610</v>
      </c>
      <c r="C80" s="59" t="s">
        <v>123</v>
      </c>
      <c r="D80" s="28">
        <f>№7!E465</f>
        <v>444.1</v>
      </c>
      <c r="E80" s="28">
        <f>№7!F465</f>
        <v>444</v>
      </c>
    </row>
    <row r="81" spans="1:5" ht="47.25">
      <c r="A81" s="60">
        <v>1120200000</v>
      </c>
      <c r="B81" s="58"/>
      <c r="C81" s="59" t="s">
        <v>279</v>
      </c>
      <c r="D81" s="48">
        <f>D82+D85</f>
        <v>817.6</v>
      </c>
      <c r="E81" s="48">
        <f>E82+E85</f>
        <v>795.6</v>
      </c>
    </row>
    <row r="82" spans="1:5" ht="31.5">
      <c r="A82" s="60">
        <v>1120220030</v>
      </c>
      <c r="B82" s="58"/>
      <c r="C82" s="59" t="s">
        <v>280</v>
      </c>
      <c r="D82" s="48">
        <f>D83</f>
        <v>418.5</v>
      </c>
      <c r="E82" s="48">
        <f>E83</f>
        <v>418.5</v>
      </c>
    </row>
    <row r="83" spans="1:5" ht="31.5">
      <c r="A83" s="60">
        <v>1120220030</v>
      </c>
      <c r="B83" s="60" t="s">
        <v>109</v>
      </c>
      <c r="C83" s="59" t="s">
        <v>110</v>
      </c>
      <c r="D83" s="48">
        <f>D84</f>
        <v>418.5</v>
      </c>
      <c r="E83" s="48">
        <f>E84</f>
        <v>418.5</v>
      </c>
    </row>
    <row r="84" spans="1:5">
      <c r="A84" s="60">
        <v>1120220030</v>
      </c>
      <c r="B84" s="58">
        <v>610</v>
      </c>
      <c r="C84" s="59" t="s">
        <v>123</v>
      </c>
      <c r="D84" s="48">
        <f>№7!E469</f>
        <v>418.5</v>
      </c>
      <c r="E84" s="48">
        <f>№7!F469</f>
        <v>418.5</v>
      </c>
    </row>
    <row r="85" spans="1:5" ht="31.5">
      <c r="A85" s="66" t="s">
        <v>325</v>
      </c>
      <c r="B85" s="66"/>
      <c r="C85" s="67" t="s">
        <v>326</v>
      </c>
      <c r="D85" s="48">
        <f>D86</f>
        <v>399.1</v>
      </c>
      <c r="E85" s="48">
        <f>E86</f>
        <v>377.1</v>
      </c>
    </row>
    <row r="86" spans="1:5" ht="31.5">
      <c r="A86" s="66" t="s">
        <v>325</v>
      </c>
      <c r="B86" s="68" t="s">
        <v>109</v>
      </c>
      <c r="C86" s="67" t="s">
        <v>110</v>
      </c>
      <c r="D86" s="48">
        <f>D87</f>
        <v>399.1</v>
      </c>
      <c r="E86" s="48">
        <f>E87</f>
        <v>377.1</v>
      </c>
    </row>
    <row r="87" spans="1:5">
      <c r="A87" s="66" t="s">
        <v>325</v>
      </c>
      <c r="B87" s="66">
        <v>610</v>
      </c>
      <c r="C87" s="67" t="s">
        <v>123</v>
      </c>
      <c r="D87" s="48">
        <f>№7!E472</f>
        <v>399.1</v>
      </c>
      <c r="E87" s="48">
        <f>№7!F472</f>
        <v>377.1</v>
      </c>
    </row>
    <row r="88" spans="1:5" ht="31.5">
      <c r="A88" s="60">
        <v>1130000000</v>
      </c>
      <c r="B88" s="30"/>
      <c r="C88" s="30" t="s">
        <v>135</v>
      </c>
      <c r="D88" s="48">
        <f>D89+D101+D105+D109</f>
        <v>866.5</v>
      </c>
      <c r="E88" s="48">
        <f>E89+E101+E105+E109</f>
        <v>866.5</v>
      </c>
    </row>
    <row r="89" spans="1:5" ht="15.75" customHeight="1">
      <c r="A89" s="58">
        <v>1130100000</v>
      </c>
      <c r="B89" s="30"/>
      <c r="C89" s="30" t="s">
        <v>281</v>
      </c>
      <c r="D89" s="48">
        <f>D90+D98+D95</f>
        <v>277.2</v>
      </c>
      <c r="E89" s="48">
        <f>E90+E98+E95</f>
        <v>277.2</v>
      </c>
    </row>
    <row r="90" spans="1:5" ht="31.5">
      <c r="A90" s="60">
        <v>1130120260</v>
      </c>
      <c r="B90" s="30"/>
      <c r="C90" s="30" t="s">
        <v>283</v>
      </c>
      <c r="D90" s="48">
        <f>D91+D93</f>
        <v>169.19999999999996</v>
      </c>
      <c r="E90" s="48">
        <f>E91+E93</f>
        <v>169.2</v>
      </c>
    </row>
    <row r="91" spans="1:5" ht="31.5">
      <c r="A91" s="60">
        <v>1130120260</v>
      </c>
      <c r="B91" s="58" t="s">
        <v>75</v>
      </c>
      <c r="C91" s="30" t="s">
        <v>107</v>
      </c>
      <c r="D91" s="48">
        <f>D92</f>
        <v>122.29999999999997</v>
      </c>
      <c r="E91" s="48">
        <f>E92</f>
        <v>122.3</v>
      </c>
    </row>
    <row r="92" spans="1:5" ht="33.6" customHeight="1">
      <c r="A92" s="60">
        <v>1130120260</v>
      </c>
      <c r="B92" s="58">
        <v>240</v>
      </c>
      <c r="C92" s="30" t="s">
        <v>441</v>
      </c>
      <c r="D92" s="48">
        <f>№7!E533</f>
        <v>122.29999999999997</v>
      </c>
      <c r="E92" s="48">
        <f>№7!F533</f>
        <v>122.3</v>
      </c>
    </row>
    <row r="93" spans="1:5" ht="15" customHeight="1">
      <c r="A93" s="60">
        <v>1130120260</v>
      </c>
      <c r="B93" s="1" t="s">
        <v>79</v>
      </c>
      <c r="C93" s="36" t="s">
        <v>80</v>
      </c>
      <c r="D93" s="48">
        <f>D94</f>
        <v>46.9</v>
      </c>
      <c r="E93" s="48">
        <f>E94</f>
        <v>46.9</v>
      </c>
    </row>
    <row r="94" spans="1:5" ht="16.5" customHeight="1">
      <c r="A94" s="60">
        <v>1130120260</v>
      </c>
      <c r="B94" s="58">
        <v>350</v>
      </c>
      <c r="C94" s="59" t="s">
        <v>194</v>
      </c>
      <c r="D94" s="48">
        <f>№7!E535</f>
        <v>46.9</v>
      </c>
      <c r="E94" s="48">
        <f>№7!F535</f>
        <v>46.9</v>
      </c>
    </row>
    <row r="95" spans="1:5" ht="61.5" customHeight="1">
      <c r="A95" s="58">
        <v>1130110660</v>
      </c>
      <c r="B95" s="58"/>
      <c r="C95" s="59" t="s">
        <v>307</v>
      </c>
      <c r="D95" s="48">
        <f>D96</f>
        <v>97.2</v>
      </c>
      <c r="E95" s="48">
        <f>E96</f>
        <v>97.2</v>
      </c>
    </row>
    <row r="96" spans="1:5" ht="31.5">
      <c r="A96" s="58">
        <v>1130110660</v>
      </c>
      <c r="B96" s="60" t="s">
        <v>109</v>
      </c>
      <c r="C96" s="59" t="s">
        <v>110</v>
      </c>
      <c r="D96" s="48">
        <f>D97</f>
        <v>97.2</v>
      </c>
      <c r="E96" s="48">
        <f>E97</f>
        <v>97.2</v>
      </c>
    </row>
    <row r="97" spans="1:5">
      <c r="A97" s="58">
        <v>1130110660</v>
      </c>
      <c r="B97" s="58">
        <v>610</v>
      </c>
      <c r="C97" s="59" t="s">
        <v>123</v>
      </c>
      <c r="D97" s="48">
        <f>№7!E428</f>
        <v>97.2</v>
      </c>
      <c r="E97" s="48">
        <f>№7!F428</f>
        <v>97.2</v>
      </c>
    </row>
    <row r="98" spans="1:5" ht="65.45" customHeight="1">
      <c r="A98" s="58" t="s">
        <v>282</v>
      </c>
      <c r="B98" s="58"/>
      <c r="C98" s="59" t="s">
        <v>308</v>
      </c>
      <c r="D98" s="48">
        <f>D99</f>
        <v>10.799999999999999</v>
      </c>
      <c r="E98" s="48">
        <f>E99</f>
        <v>10.8</v>
      </c>
    </row>
    <row r="99" spans="1:5" ht="33.6" customHeight="1">
      <c r="A99" s="58" t="s">
        <v>282</v>
      </c>
      <c r="B99" s="60" t="s">
        <v>109</v>
      </c>
      <c r="C99" s="59" t="s">
        <v>110</v>
      </c>
      <c r="D99" s="48">
        <f>D100</f>
        <v>10.799999999999999</v>
      </c>
      <c r="E99" s="48">
        <f>E100</f>
        <v>10.8</v>
      </c>
    </row>
    <row r="100" spans="1:5" ht="16.149999999999999" customHeight="1">
      <c r="A100" s="58" t="s">
        <v>282</v>
      </c>
      <c r="B100" s="58">
        <v>610</v>
      </c>
      <c r="C100" s="59" t="s">
        <v>123</v>
      </c>
      <c r="D100" s="48">
        <f>№7!E431</f>
        <v>10.799999999999999</v>
      </c>
      <c r="E100" s="48">
        <f>№7!F431</f>
        <v>10.8</v>
      </c>
    </row>
    <row r="101" spans="1:5" ht="31.5">
      <c r="A101" s="58">
        <v>1130200000</v>
      </c>
      <c r="B101" s="58"/>
      <c r="C101" s="30" t="s">
        <v>228</v>
      </c>
      <c r="D101" s="48">
        <f t="shared" ref="D101:E103" si="1">D102</f>
        <v>154.9</v>
      </c>
      <c r="E101" s="48">
        <f t="shared" si="1"/>
        <v>154.9</v>
      </c>
    </row>
    <row r="102" spans="1:5" ht="31.5">
      <c r="A102" s="58">
        <v>1130220270</v>
      </c>
      <c r="B102" s="58"/>
      <c r="C102" s="30" t="s">
        <v>229</v>
      </c>
      <c r="D102" s="48">
        <f t="shared" si="1"/>
        <v>154.9</v>
      </c>
      <c r="E102" s="48">
        <f t="shared" si="1"/>
        <v>154.9</v>
      </c>
    </row>
    <row r="103" spans="1:5" ht="31.5">
      <c r="A103" s="58">
        <v>1130220270</v>
      </c>
      <c r="B103" s="58" t="s">
        <v>75</v>
      </c>
      <c r="C103" s="30" t="s">
        <v>107</v>
      </c>
      <c r="D103" s="48">
        <f t="shared" si="1"/>
        <v>154.9</v>
      </c>
      <c r="E103" s="48">
        <f t="shared" si="1"/>
        <v>154.9</v>
      </c>
    </row>
    <row r="104" spans="1:5" ht="35.450000000000003" customHeight="1">
      <c r="A104" s="58">
        <v>1130220270</v>
      </c>
      <c r="B104" s="58">
        <v>240</v>
      </c>
      <c r="C104" s="30" t="s">
        <v>441</v>
      </c>
      <c r="D104" s="48">
        <f>№7!E539+№7!E507</f>
        <v>154.9</v>
      </c>
      <c r="E104" s="48">
        <f>№7!F539+№7!F507</f>
        <v>154.9</v>
      </c>
    </row>
    <row r="105" spans="1:5" ht="47.25">
      <c r="A105" s="60">
        <v>1130300000</v>
      </c>
      <c r="B105" s="30"/>
      <c r="C105" s="30" t="s">
        <v>136</v>
      </c>
      <c r="D105" s="48">
        <f t="shared" ref="D105:E107" si="2">D106</f>
        <v>366.9</v>
      </c>
      <c r="E105" s="48">
        <f t="shared" si="2"/>
        <v>366.9</v>
      </c>
    </row>
    <row r="106" spans="1:5" ht="31.5">
      <c r="A106" s="60">
        <v>1130320280</v>
      </c>
      <c r="B106" s="30"/>
      <c r="C106" s="30" t="s">
        <v>137</v>
      </c>
      <c r="D106" s="48">
        <f t="shared" si="2"/>
        <v>366.9</v>
      </c>
      <c r="E106" s="48">
        <f t="shared" si="2"/>
        <v>366.9</v>
      </c>
    </row>
    <row r="107" spans="1:5" ht="31.5">
      <c r="A107" s="60">
        <v>1130320280</v>
      </c>
      <c r="B107" s="60" t="s">
        <v>109</v>
      </c>
      <c r="C107" s="59" t="s">
        <v>110</v>
      </c>
      <c r="D107" s="48">
        <f t="shared" si="2"/>
        <v>366.9</v>
      </c>
      <c r="E107" s="48">
        <f t="shared" si="2"/>
        <v>366.9</v>
      </c>
    </row>
    <row r="108" spans="1:5">
      <c r="A108" s="60">
        <v>1130320280</v>
      </c>
      <c r="B108" s="58">
        <v>610</v>
      </c>
      <c r="C108" s="59" t="s">
        <v>123</v>
      </c>
      <c r="D108" s="48">
        <f>№7!E224</f>
        <v>366.9</v>
      </c>
      <c r="E108" s="48">
        <f>№7!F224</f>
        <v>366.9</v>
      </c>
    </row>
    <row r="109" spans="1:5" ht="31.5">
      <c r="A109" s="58">
        <v>1130400000</v>
      </c>
      <c r="B109" s="58"/>
      <c r="C109" s="30" t="s">
        <v>172</v>
      </c>
      <c r="D109" s="48">
        <f t="shared" ref="D109:E111" si="3">D110</f>
        <v>67.5</v>
      </c>
      <c r="E109" s="48">
        <f t="shared" si="3"/>
        <v>67.5</v>
      </c>
    </row>
    <row r="110" spans="1:5" ht="31.5">
      <c r="A110" s="58">
        <v>1130420290</v>
      </c>
      <c r="B110" s="58"/>
      <c r="C110" s="30" t="s">
        <v>173</v>
      </c>
      <c r="D110" s="48">
        <f t="shared" si="3"/>
        <v>67.5</v>
      </c>
      <c r="E110" s="48">
        <f t="shared" si="3"/>
        <v>67.5</v>
      </c>
    </row>
    <row r="111" spans="1:5" ht="31.5">
      <c r="A111" s="58">
        <v>1130420290</v>
      </c>
      <c r="B111" s="60" t="s">
        <v>109</v>
      </c>
      <c r="C111" s="59" t="s">
        <v>110</v>
      </c>
      <c r="D111" s="48">
        <f t="shared" si="3"/>
        <v>67.5</v>
      </c>
      <c r="E111" s="48">
        <f t="shared" si="3"/>
        <v>67.5</v>
      </c>
    </row>
    <row r="112" spans="1:5">
      <c r="A112" s="58">
        <v>1130420290</v>
      </c>
      <c r="B112" s="58">
        <v>610</v>
      </c>
      <c r="C112" s="59" t="s">
        <v>123</v>
      </c>
      <c r="D112" s="48">
        <f>№7!E511</f>
        <v>67.5</v>
      </c>
      <c r="E112" s="48">
        <f>№7!F511</f>
        <v>67.5</v>
      </c>
    </row>
    <row r="113" spans="1:5" s="45" customFormat="1" ht="47.25">
      <c r="A113" s="39">
        <v>1200000000</v>
      </c>
      <c r="B113" s="19"/>
      <c r="C113" s="20" t="s">
        <v>231</v>
      </c>
      <c r="D113" s="47">
        <f>D114+D132+D159+D202</f>
        <v>66650.600000000006</v>
      </c>
      <c r="E113" s="47">
        <f>E114+E132+E159+E202</f>
        <v>66621.600000000006</v>
      </c>
    </row>
    <row r="114" spans="1:5" ht="18" customHeight="1">
      <c r="A114" s="60">
        <v>1210000000</v>
      </c>
      <c r="B114" s="58"/>
      <c r="C114" s="59" t="s">
        <v>247</v>
      </c>
      <c r="D114" s="52">
        <f>D115+D125</f>
        <v>13560.7</v>
      </c>
      <c r="E114" s="52">
        <f>E115+E125</f>
        <v>13560.7</v>
      </c>
    </row>
    <row r="115" spans="1:5" ht="31.5">
      <c r="A115" s="60">
        <v>1210100000</v>
      </c>
      <c r="B115" s="58"/>
      <c r="C115" s="59" t="s">
        <v>248</v>
      </c>
      <c r="D115" s="48">
        <f>D119+D116+D122</f>
        <v>13453</v>
      </c>
      <c r="E115" s="48">
        <f>E119+E116+E122</f>
        <v>13453</v>
      </c>
    </row>
    <row r="116" spans="1:5" ht="47.25">
      <c r="A116" s="60">
        <v>1210110680</v>
      </c>
      <c r="B116" s="58"/>
      <c r="C116" s="63" t="s">
        <v>310</v>
      </c>
      <c r="D116" s="28">
        <f>D117</f>
        <v>3865.3999999999996</v>
      </c>
      <c r="E116" s="28">
        <f>E117</f>
        <v>3865.4</v>
      </c>
    </row>
    <row r="117" spans="1:5" ht="31.5">
      <c r="A117" s="60">
        <v>1210110680</v>
      </c>
      <c r="B117" s="60" t="s">
        <v>109</v>
      </c>
      <c r="C117" s="59" t="s">
        <v>110</v>
      </c>
      <c r="D117" s="28">
        <f>D118</f>
        <v>3865.3999999999996</v>
      </c>
      <c r="E117" s="28">
        <f>E118</f>
        <v>3865.4</v>
      </c>
    </row>
    <row r="118" spans="1:5">
      <c r="A118" s="60">
        <v>1210110680</v>
      </c>
      <c r="B118" s="58">
        <v>610</v>
      </c>
      <c r="C118" s="59" t="s">
        <v>123</v>
      </c>
      <c r="D118" s="28">
        <f>№7!E562</f>
        <v>3865.3999999999996</v>
      </c>
      <c r="E118" s="28">
        <f>№7!F562</f>
        <v>3865.4</v>
      </c>
    </row>
    <row r="119" spans="1:5" ht="31.5">
      <c r="A119" s="60">
        <v>1210120010</v>
      </c>
      <c r="B119" s="58"/>
      <c r="C119" s="59" t="s">
        <v>144</v>
      </c>
      <c r="D119" s="48">
        <f>D120</f>
        <v>9548.9</v>
      </c>
      <c r="E119" s="48">
        <f>E120</f>
        <v>9548.9</v>
      </c>
    </row>
    <row r="120" spans="1:5" ht="31.5">
      <c r="A120" s="60">
        <v>1210120010</v>
      </c>
      <c r="B120" s="60" t="s">
        <v>109</v>
      </c>
      <c r="C120" s="59" t="s">
        <v>110</v>
      </c>
      <c r="D120" s="48">
        <f>D121</f>
        <v>9548.9</v>
      </c>
      <c r="E120" s="48">
        <f>E121</f>
        <v>9548.9</v>
      </c>
    </row>
    <row r="121" spans="1:5">
      <c r="A121" s="60">
        <v>1210120010</v>
      </c>
      <c r="B121" s="58">
        <v>610</v>
      </c>
      <c r="C121" s="59" t="s">
        <v>123</v>
      </c>
      <c r="D121" s="48">
        <f>№7!E565</f>
        <v>9548.9</v>
      </c>
      <c r="E121" s="48">
        <f>№7!F565</f>
        <v>9548.9</v>
      </c>
    </row>
    <row r="122" spans="1:5" ht="31.5">
      <c r="A122" s="60" t="s">
        <v>300</v>
      </c>
      <c r="B122" s="58"/>
      <c r="C122" s="63" t="s">
        <v>309</v>
      </c>
      <c r="D122" s="28">
        <f>D123</f>
        <v>38.700000000000003</v>
      </c>
      <c r="E122" s="28">
        <f>E123</f>
        <v>38.700000000000003</v>
      </c>
    </row>
    <row r="123" spans="1:5" ht="31.5">
      <c r="A123" s="60" t="s">
        <v>300</v>
      </c>
      <c r="B123" s="60" t="s">
        <v>109</v>
      </c>
      <c r="C123" s="59" t="s">
        <v>110</v>
      </c>
      <c r="D123" s="28">
        <f>D124</f>
        <v>38.700000000000003</v>
      </c>
      <c r="E123" s="28">
        <f>E124</f>
        <v>38.700000000000003</v>
      </c>
    </row>
    <row r="124" spans="1:5">
      <c r="A124" s="60" t="s">
        <v>300</v>
      </c>
      <c r="B124" s="58">
        <v>610</v>
      </c>
      <c r="C124" s="59" t="s">
        <v>123</v>
      </c>
      <c r="D124" s="28">
        <f>№7!E568</f>
        <v>38.700000000000003</v>
      </c>
      <c r="E124" s="28">
        <f>№7!F568</f>
        <v>38.700000000000003</v>
      </c>
    </row>
    <row r="125" spans="1:5" ht="31.5">
      <c r="A125" s="60">
        <v>1210300000</v>
      </c>
      <c r="B125" s="58"/>
      <c r="C125" s="59" t="s">
        <v>249</v>
      </c>
      <c r="D125" s="48">
        <f>D129+D126</f>
        <v>107.7</v>
      </c>
      <c r="E125" s="48">
        <f>E129+E126</f>
        <v>107.7</v>
      </c>
    </row>
    <row r="126" spans="1:5">
      <c r="A126" s="188">
        <v>1210320010</v>
      </c>
      <c r="B126" s="186"/>
      <c r="C126" s="202" t="s">
        <v>472</v>
      </c>
      <c r="D126" s="48">
        <f>D127</f>
        <v>75</v>
      </c>
      <c r="E126" s="48">
        <f>E127</f>
        <v>75</v>
      </c>
    </row>
    <row r="127" spans="1:5" ht="31.5">
      <c r="A127" s="188">
        <v>1210320010</v>
      </c>
      <c r="B127" s="188" t="s">
        <v>109</v>
      </c>
      <c r="C127" s="187" t="s">
        <v>110</v>
      </c>
      <c r="D127" s="48">
        <f>D128</f>
        <v>75</v>
      </c>
      <c r="E127" s="48">
        <f>E128</f>
        <v>75</v>
      </c>
    </row>
    <row r="128" spans="1:5">
      <c r="A128" s="188">
        <v>1210320010</v>
      </c>
      <c r="B128" s="186">
        <v>610</v>
      </c>
      <c r="C128" s="187" t="s">
        <v>123</v>
      </c>
      <c r="D128" s="48">
        <f>№7!E572</f>
        <v>75</v>
      </c>
      <c r="E128" s="48">
        <f>№7!F572</f>
        <v>75</v>
      </c>
    </row>
    <row r="129" spans="1:5" ht="31.5">
      <c r="A129" s="90">
        <v>1210320030</v>
      </c>
      <c r="B129" s="88"/>
      <c r="C129" s="89" t="s">
        <v>280</v>
      </c>
      <c r="D129" s="48">
        <f>D130</f>
        <v>32.700000000000003</v>
      </c>
      <c r="E129" s="48">
        <f>E130</f>
        <v>32.700000000000003</v>
      </c>
    </row>
    <row r="130" spans="1:5" ht="31.5">
      <c r="A130" s="90">
        <v>1210320030</v>
      </c>
      <c r="B130" s="90" t="s">
        <v>109</v>
      </c>
      <c r="C130" s="89" t="s">
        <v>110</v>
      </c>
      <c r="D130" s="48">
        <f>D131</f>
        <v>32.700000000000003</v>
      </c>
      <c r="E130" s="48">
        <f>E131</f>
        <v>32.700000000000003</v>
      </c>
    </row>
    <row r="131" spans="1:5">
      <c r="A131" s="90">
        <v>1210320030</v>
      </c>
      <c r="B131" s="88">
        <v>610</v>
      </c>
      <c r="C131" s="89" t="s">
        <v>123</v>
      </c>
      <c r="D131" s="48">
        <f>№7!E575</f>
        <v>32.700000000000003</v>
      </c>
      <c r="E131" s="48">
        <f>№7!F575</f>
        <v>32.700000000000003</v>
      </c>
    </row>
    <row r="132" spans="1:5" ht="31.5">
      <c r="A132" s="60">
        <v>1220000000</v>
      </c>
      <c r="B132" s="58"/>
      <c r="C132" s="59" t="s">
        <v>174</v>
      </c>
      <c r="D132" s="48">
        <f>D133+D151+D155+D147+D143</f>
        <v>24525.799999999996</v>
      </c>
      <c r="E132" s="48">
        <f>E133+E151+E155+E147+E143</f>
        <v>24525.8</v>
      </c>
    </row>
    <row r="133" spans="1:5" ht="31.5">
      <c r="A133" s="58">
        <v>1220100000</v>
      </c>
      <c r="B133" s="58"/>
      <c r="C133" s="59" t="s">
        <v>250</v>
      </c>
      <c r="D133" s="48">
        <f>D137+D134+D140</f>
        <v>24343.799999999996</v>
      </c>
      <c r="E133" s="48">
        <f>E137+E134+E140</f>
        <v>24343.8</v>
      </c>
    </row>
    <row r="134" spans="1:5" ht="47.25">
      <c r="A134" s="58">
        <v>1220110680</v>
      </c>
      <c r="B134" s="58"/>
      <c r="C134" s="63" t="s">
        <v>310</v>
      </c>
      <c r="D134" s="48">
        <f>D135</f>
        <v>5057.3</v>
      </c>
      <c r="E134" s="48">
        <f>E135</f>
        <v>5057.3</v>
      </c>
    </row>
    <row r="135" spans="1:5" ht="31.5">
      <c r="A135" s="58">
        <v>1220110680</v>
      </c>
      <c r="B135" s="60" t="s">
        <v>109</v>
      </c>
      <c r="C135" s="59" t="s">
        <v>110</v>
      </c>
      <c r="D135" s="48">
        <f>D136</f>
        <v>5057.3</v>
      </c>
      <c r="E135" s="48">
        <f>E136</f>
        <v>5057.3</v>
      </c>
    </row>
    <row r="136" spans="1:5">
      <c r="A136" s="58">
        <v>1220110680</v>
      </c>
      <c r="B136" s="58">
        <v>610</v>
      </c>
      <c r="C136" s="59" t="s">
        <v>123</v>
      </c>
      <c r="D136" s="48">
        <f>№7!E580</f>
        <v>5057.3</v>
      </c>
      <c r="E136" s="48">
        <f>№7!F580</f>
        <v>5057.3</v>
      </c>
    </row>
    <row r="137" spans="1:5" ht="31.5">
      <c r="A137" s="58">
        <v>1220120010</v>
      </c>
      <c r="B137" s="58"/>
      <c r="C137" s="59" t="s">
        <v>144</v>
      </c>
      <c r="D137" s="48">
        <f>D138</f>
        <v>19235.899999999998</v>
      </c>
      <c r="E137" s="48">
        <f>E138</f>
        <v>19235.900000000001</v>
      </c>
    </row>
    <row r="138" spans="1:5" ht="31.5">
      <c r="A138" s="58">
        <v>1220120010</v>
      </c>
      <c r="B138" s="60" t="s">
        <v>109</v>
      </c>
      <c r="C138" s="59" t="s">
        <v>110</v>
      </c>
      <c r="D138" s="48">
        <f>D139</f>
        <v>19235.899999999998</v>
      </c>
      <c r="E138" s="48">
        <f>E139</f>
        <v>19235.900000000001</v>
      </c>
    </row>
    <row r="139" spans="1:5">
      <c r="A139" s="58">
        <v>1220120010</v>
      </c>
      <c r="B139" s="58">
        <v>610</v>
      </c>
      <c r="C139" s="59" t="s">
        <v>123</v>
      </c>
      <c r="D139" s="48">
        <f>№7!E583</f>
        <v>19235.899999999998</v>
      </c>
      <c r="E139" s="48">
        <f>№7!F583</f>
        <v>19235.900000000001</v>
      </c>
    </row>
    <row r="140" spans="1:5" ht="31.5">
      <c r="A140" s="58" t="s">
        <v>301</v>
      </c>
      <c r="B140" s="58"/>
      <c r="C140" s="63" t="s">
        <v>309</v>
      </c>
      <c r="D140" s="48">
        <f>D141</f>
        <v>50.599999999999994</v>
      </c>
      <c r="E140" s="48">
        <f>E141</f>
        <v>50.6</v>
      </c>
    </row>
    <row r="141" spans="1:5" ht="31.5">
      <c r="A141" s="58" t="s">
        <v>301</v>
      </c>
      <c r="B141" s="60" t="s">
        <v>109</v>
      </c>
      <c r="C141" s="59" t="s">
        <v>110</v>
      </c>
      <c r="D141" s="48">
        <f>D142</f>
        <v>50.599999999999994</v>
      </c>
      <c r="E141" s="48">
        <f>E142</f>
        <v>50.6</v>
      </c>
    </row>
    <row r="142" spans="1:5">
      <c r="A142" s="58" t="s">
        <v>301</v>
      </c>
      <c r="B142" s="58">
        <v>610</v>
      </c>
      <c r="C142" s="59" t="s">
        <v>123</v>
      </c>
      <c r="D142" s="48">
        <f>№7!E586</f>
        <v>50.599999999999994</v>
      </c>
      <c r="E142" s="48">
        <f>№7!F586</f>
        <v>50.6</v>
      </c>
    </row>
    <row r="143" spans="1:5" ht="47.25">
      <c r="A143" s="186">
        <v>1220200000</v>
      </c>
      <c r="B143" s="186"/>
      <c r="C143" s="187" t="s">
        <v>467</v>
      </c>
      <c r="D143" s="48">
        <f t="shared" ref="D143:E145" si="4">D144</f>
        <v>96.8</v>
      </c>
      <c r="E143" s="48">
        <f t="shared" si="4"/>
        <v>96.8</v>
      </c>
    </row>
    <row r="144" spans="1:5">
      <c r="A144" s="186">
        <v>1220220020</v>
      </c>
      <c r="B144" s="186"/>
      <c r="C144" s="187" t="s">
        <v>324</v>
      </c>
      <c r="D144" s="48">
        <f t="shared" si="4"/>
        <v>96.8</v>
      </c>
      <c r="E144" s="48">
        <f t="shared" si="4"/>
        <v>96.8</v>
      </c>
    </row>
    <row r="145" spans="1:5" ht="31.5">
      <c r="A145" s="186">
        <v>1220220020</v>
      </c>
      <c r="B145" s="188" t="s">
        <v>109</v>
      </c>
      <c r="C145" s="187" t="s">
        <v>110</v>
      </c>
      <c r="D145" s="48">
        <f t="shared" si="4"/>
        <v>96.8</v>
      </c>
      <c r="E145" s="48">
        <f t="shared" si="4"/>
        <v>96.8</v>
      </c>
    </row>
    <row r="146" spans="1:5">
      <c r="A146" s="186">
        <v>1220220020</v>
      </c>
      <c r="B146" s="186">
        <v>610</v>
      </c>
      <c r="C146" s="187" t="s">
        <v>123</v>
      </c>
      <c r="D146" s="48">
        <f>№7!E590</f>
        <v>96.8</v>
      </c>
      <c r="E146" s="48">
        <f>№7!F590</f>
        <v>96.8</v>
      </c>
    </row>
    <row r="147" spans="1:5" ht="30.75" customHeight="1">
      <c r="A147" s="66">
        <v>1220300000</v>
      </c>
      <c r="B147" s="66"/>
      <c r="C147" s="67" t="s">
        <v>320</v>
      </c>
      <c r="D147" s="48">
        <f t="shared" ref="D147:E149" si="5">D148</f>
        <v>36</v>
      </c>
      <c r="E147" s="48">
        <f t="shared" si="5"/>
        <v>36</v>
      </c>
    </row>
    <row r="148" spans="1:5" ht="31.5">
      <c r="A148" s="194">
        <v>1220320030</v>
      </c>
      <c r="B148" s="194"/>
      <c r="C148" s="198" t="s">
        <v>280</v>
      </c>
      <c r="D148" s="48">
        <f t="shared" si="5"/>
        <v>36</v>
      </c>
      <c r="E148" s="48">
        <f t="shared" si="5"/>
        <v>36</v>
      </c>
    </row>
    <row r="149" spans="1:5" ht="31.5">
      <c r="A149" s="194">
        <v>1220320030</v>
      </c>
      <c r="B149" s="196" t="s">
        <v>109</v>
      </c>
      <c r="C149" s="195" t="s">
        <v>110</v>
      </c>
      <c r="D149" s="48">
        <f t="shared" si="5"/>
        <v>36</v>
      </c>
      <c r="E149" s="48">
        <f t="shared" si="5"/>
        <v>36</v>
      </c>
    </row>
    <row r="150" spans="1:5">
      <c r="A150" s="194">
        <v>1220320030</v>
      </c>
      <c r="B150" s="194">
        <v>610</v>
      </c>
      <c r="C150" s="195" t="s">
        <v>123</v>
      </c>
      <c r="D150" s="48">
        <f>№7!E594</f>
        <v>36</v>
      </c>
      <c r="E150" s="48">
        <f>№7!F594</f>
        <v>36</v>
      </c>
    </row>
    <row r="151" spans="1:5" ht="31.5">
      <c r="A151" s="58">
        <v>1220400000</v>
      </c>
      <c r="B151" s="58"/>
      <c r="C151" s="59" t="s">
        <v>251</v>
      </c>
      <c r="D151" s="48">
        <f t="shared" ref="D151:E153" si="6">D152</f>
        <v>16</v>
      </c>
      <c r="E151" s="48">
        <f t="shared" si="6"/>
        <v>16</v>
      </c>
    </row>
    <row r="152" spans="1:5" ht="31.5">
      <c r="A152" s="58">
        <v>1220420450</v>
      </c>
      <c r="B152" s="58"/>
      <c r="C152" s="59" t="s">
        <v>175</v>
      </c>
      <c r="D152" s="48">
        <f t="shared" si="6"/>
        <v>16</v>
      </c>
      <c r="E152" s="48">
        <f t="shared" si="6"/>
        <v>16</v>
      </c>
    </row>
    <row r="153" spans="1:5" ht="31.5">
      <c r="A153" s="58">
        <v>1220420450</v>
      </c>
      <c r="B153" s="60" t="s">
        <v>75</v>
      </c>
      <c r="C153" s="59" t="s">
        <v>107</v>
      </c>
      <c r="D153" s="48">
        <f t="shared" si="6"/>
        <v>16</v>
      </c>
      <c r="E153" s="48">
        <f t="shared" si="6"/>
        <v>16</v>
      </c>
    </row>
    <row r="154" spans="1:5" ht="35.450000000000003" customHeight="1">
      <c r="A154" s="58">
        <v>1220420450</v>
      </c>
      <c r="B154" s="58">
        <v>240</v>
      </c>
      <c r="C154" s="30" t="s">
        <v>441</v>
      </c>
      <c r="D154" s="48">
        <f>№7!E598</f>
        <v>16</v>
      </c>
      <c r="E154" s="48">
        <f>№7!F598</f>
        <v>16</v>
      </c>
    </row>
    <row r="155" spans="1:5" ht="31.5">
      <c r="A155" s="58">
        <v>1220500000</v>
      </c>
      <c r="B155" s="58"/>
      <c r="C155" s="59" t="s">
        <v>252</v>
      </c>
      <c r="D155" s="48">
        <f t="shared" ref="D155:E157" si="7">D156</f>
        <v>33.200000000000003</v>
      </c>
      <c r="E155" s="48">
        <f t="shared" si="7"/>
        <v>33.200000000000003</v>
      </c>
    </row>
    <row r="156" spans="1:5">
      <c r="A156" s="58">
        <v>1220520320</v>
      </c>
      <c r="B156" s="58"/>
      <c r="C156" s="59" t="s">
        <v>176</v>
      </c>
      <c r="D156" s="48">
        <f t="shared" si="7"/>
        <v>33.200000000000003</v>
      </c>
      <c r="E156" s="48">
        <f t="shared" si="7"/>
        <v>33.200000000000003</v>
      </c>
    </row>
    <row r="157" spans="1:5" ht="31.5">
      <c r="A157" s="58">
        <v>1220520320</v>
      </c>
      <c r="B157" s="60" t="s">
        <v>109</v>
      </c>
      <c r="C157" s="59" t="s">
        <v>110</v>
      </c>
      <c r="D157" s="48">
        <f t="shared" si="7"/>
        <v>33.200000000000003</v>
      </c>
      <c r="E157" s="48">
        <f t="shared" si="7"/>
        <v>33.200000000000003</v>
      </c>
    </row>
    <row r="158" spans="1:5">
      <c r="A158" s="58">
        <v>1220520320</v>
      </c>
      <c r="B158" s="58">
        <v>610</v>
      </c>
      <c r="C158" s="59" t="s">
        <v>123</v>
      </c>
      <c r="D158" s="48">
        <f>№7!E602</f>
        <v>33.200000000000003</v>
      </c>
      <c r="E158" s="48">
        <f>№7!F602</f>
        <v>33.200000000000003</v>
      </c>
    </row>
    <row r="159" spans="1:5">
      <c r="A159" s="58">
        <v>1230000000</v>
      </c>
      <c r="B159" s="58"/>
      <c r="C159" s="59" t="s">
        <v>257</v>
      </c>
      <c r="D159" s="48">
        <f>D160+D170+D184+D174</f>
        <v>13266.199999999999</v>
      </c>
      <c r="E159" s="48">
        <f>E160+E170+E184+E174</f>
        <v>13237.2</v>
      </c>
    </row>
    <row r="160" spans="1:5" ht="31.5">
      <c r="A160" s="58">
        <v>1230100000</v>
      </c>
      <c r="B160" s="58"/>
      <c r="C160" s="59" t="s">
        <v>258</v>
      </c>
      <c r="D160" s="48">
        <f>D164+D161+D167</f>
        <v>11125.099999999999</v>
      </c>
      <c r="E160" s="48">
        <f>E164+E161+E167</f>
        <v>11125.1</v>
      </c>
    </row>
    <row r="161" spans="1:5" ht="47.25">
      <c r="A161" s="81">
        <v>1230110200</v>
      </c>
      <c r="B161" s="81"/>
      <c r="C161" s="9" t="s">
        <v>349</v>
      </c>
      <c r="D161" s="48">
        <f>D162</f>
        <v>624.9</v>
      </c>
      <c r="E161" s="48">
        <f>E162</f>
        <v>624.9</v>
      </c>
    </row>
    <row r="162" spans="1:5" ht="31.5">
      <c r="A162" s="81">
        <v>1230110200</v>
      </c>
      <c r="B162" s="83" t="s">
        <v>109</v>
      </c>
      <c r="C162" s="82" t="s">
        <v>110</v>
      </c>
      <c r="D162" s="48">
        <f>D163</f>
        <v>624.9</v>
      </c>
      <c r="E162" s="48">
        <f>E163</f>
        <v>624.9</v>
      </c>
    </row>
    <row r="163" spans="1:5">
      <c r="A163" s="81">
        <v>1230110200</v>
      </c>
      <c r="B163" s="81">
        <v>610</v>
      </c>
      <c r="C163" s="82" t="s">
        <v>123</v>
      </c>
      <c r="D163" s="48">
        <f>№7!E673</f>
        <v>624.9</v>
      </c>
      <c r="E163" s="48">
        <f>№7!F673</f>
        <v>624.9</v>
      </c>
    </row>
    <row r="164" spans="1:5" ht="31.5">
      <c r="A164" s="58">
        <v>1230120010</v>
      </c>
      <c r="B164" s="58"/>
      <c r="C164" s="59" t="s">
        <v>144</v>
      </c>
      <c r="D164" s="48">
        <f>D165</f>
        <v>10437.699999999999</v>
      </c>
      <c r="E164" s="48">
        <f>E165</f>
        <v>10437.700000000001</v>
      </c>
    </row>
    <row r="165" spans="1:5" ht="31.5">
      <c r="A165" s="58">
        <v>1230120010</v>
      </c>
      <c r="B165" s="60" t="s">
        <v>109</v>
      </c>
      <c r="C165" s="59" t="s">
        <v>110</v>
      </c>
      <c r="D165" s="48">
        <f>D166</f>
        <v>10437.699999999999</v>
      </c>
      <c r="E165" s="48">
        <f>E166</f>
        <v>10437.700000000001</v>
      </c>
    </row>
    <row r="166" spans="1:5">
      <c r="A166" s="58">
        <v>1230120010</v>
      </c>
      <c r="B166" s="58">
        <v>610</v>
      </c>
      <c r="C166" s="59" t="s">
        <v>123</v>
      </c>
      <c r="D166" s="48">
        <f>№7!E676</f>
        <v>10437.699999999999</v>
      </c>
      <c r="E166" s="48">
        <f>№7!F676</f>
        <v>10437.700000000001</v>
      </c>
    </row>
    <row r="167" spans="1:5" ht="47.25">
      <c r="A167" s="84" t="s">
        <v>355</v>
      </c>
      <c r="B167" s="84"/>
      <c r="C167" s="9" t="s">
        <v>354</v>
      </c>
      <c r="D167" s="48">
        <f>D168</f>
        <v>62.5</v>
      </c>
      <c r="E167" s="48">
        <f>E168</f>
        <v>62.5</v>
      </c>
    </row>
    <row r="168" spans="1:5" ht="31.5">
      <c r="A168" s="84" t="s">
        <v>355</v>
      </c>
      <c r="B168" s="86" t="s">
        <v>109</v>
      </c>
      <c r="C168" s="85" t="s">
        <v>110</v>
      </c>
      <c r="D168" s="48">
        <f>D169</f>
        <v>62.5</v>
      </c>
      <c r="E168" s="48">
        <f>E169</f>
        <v>62.5</v>
      </c>
    </row>
    <row r="169" spans="1:5">
      <c r="A169" s="84" t="s">
        <v>355</v>
      </c>
      <c r="B169" s="84">
        <v>610</v>
      </c>
      <c r="C169" s="85" t="s">
        <v>123</v>
      </c>
      <c r="D169" s="48">
        <f>№7!E679</f>
        <v>62.5</v>
      </c>
      <c r="E169" s="48">
        <f>№7!F679</f>
        <v>62.5</v>
      </c>
    </row>
    <row r="170" spans="1:5" ht="47.25" customHeight="1">
      <c r="A170" s="58">
        <v>1230200000</v>
      </c>
      <c r="B170" s="58"/>
      <c r="C170" s="59" t="s">
        <v>259</v>
      </c>
      <c r="D170" s="48">
        <f t="shared" ref="D170:E172" si="8">D171</f>
        <v>254.9</v>
      </c>
      <c r="E170" s="48">
        <f t="shared" si="8"/>
        <v>254.9</v>
      </c>
    </row>
    <row r="171" spans="1:5">
      <c r="A171" s="58">
        <v>1230220040</v>
      </c>
      <c r="B171" s="58"/>
      <c r="C171" s="59" t="s">
        <v>260</v>
      </c>
      <c r="D171" s="48">
        <f t="shared" si="8"/>
        <v>254.9</v>
      </c>
      <c r="E171" s="48">
        <f t="shared" si="8"/>
        <v>254.9</v>
      </c>
    </row>
    <row r="172" spans="1:5" ht="31.5">
      <c r="A172" s="58">
        <v>1230220040</v>
      </c>
      <c r="B172" s="60" t="s">
        <v>109</v>
      </c>
      <c r="C172" s="59" t="s">
        <v>110</v>
      </c>
      <c r="D172" s="48">
        <f t="shared" si="8"/>
        <v>254.9</v>
      </c>
      <c r="E172" s="48">
        <f t="shared" si="8"/>
        <v>254.9</v>
      </c>
    </row>
    <row r="173" spans="1:5">
      <c r="A173" s="58">
        <v>1230220040</v>
      </c>
      <c r="B173" s="58">
        <v>610</v>
      </c>
      <c r="C173" s="59" t="s">
        <v>123</v>
      </c>
      <c r="D173" s="48">
        <f>№7!E683</f>
        <v>254.9</v>
      </c>
      <c r="E173" s="48">
        <f>№7!F683</f>
        <v>254.9</v>
      </c>
    </row>
    <row r="174" spans="1:5">
      <c r="A174" s="66">
        <v>1230500000</v>
      </c>
      <c r="B174" s="66"/>
      <c r="C174" s="67" t="s">
        <v>317</v>
      </c>
      <c r="D174" s="48">
        <f>D181+D175+D178</f>
        <v>548</v>
      </c>
      <c r="E174" s="48">
        <f>E181+E175+E178</f>
        <v>519.20000000000005</v>
      </c>
    </row>
    <row r="175" spans="1:5" ht="47.25">
      <c r="A175" s="81">
        <v>1230510400</v>
      </c>
      <c r="B175" s="81"/>
      <c r="C175" s="82" t="s">
        <v>343</v>
      </c>
      <c r="D175" s="48">
        <f>D176</f>
        <v>403</v>
      </c>
      <c r="E175" s="48">
        <f>E176</f>
        <v>403</v>
      </c>
    </row>
    <row r="176" spans="1:5" ht="31.5">
      <c r="A176" s="81">
        <v>1230510400</v>
      </c>
      <c r="B176" s="83" t="s">
        <v>75</v>
      </c>
      <c r="C176" s="82" t="s">
        <v>107</v>
      </c>
      <c r="D176" s="48">
        <f>D177</f>
        <v>403</v>
      </c>
      <c r="E176" s="48">
        <f>E177</f>
        <v>403</v>
      </c>
    </row>
    <row r="177" spans="1:5" ht="31.5" customHeight="1">
      <c r="A177" s="81">
        <v>1230510400</v>
      </c>
      <c r="B177" s="81">
        <v>240</v>
      </c>
      <c r="C177" s="30" t="s">
        <v>441</v>
      </c>
      <c r="D177" s="48">
        <f>№7!E687</f>
        <v>403</v>
      </c>
      <c r="E177" s="48">
        <f>№7!F687</f>
        <v>403</v>
      </c>
    </row>
    <row r="178" spans="1:5" ht="31.5">
      <c r="A178" s="149">
        <v>1230520300</v>
      </c>
      <c r="B178" s="149"/>
      <c r="C178" s="150" t="s">
        <v>416</v>
      </c>
      <c r="D178" s="48">
        <f>D179</f>
        <v>37</v>
      </c>
      <c r="E178" s="48">
        <f>E179</f>
        <v>8.1999999999999993</v>
      </c>
    </row>
    <row r="179" spans="1:5" ht="31.5">
      <c r="A179" s="149">
        <v>1230520300</v>
      </c>
      <c r="B179" s="151" t="s">
        <v>78</v>
      </c>
      <c r="C179" s="150" t="s">
        <v>108</v>
      </c>
      <c r="D179" s="48">
        <f>D180</f>
        <v>37</v>
      </c>
      <c r="E179" s="48">
        <f>E180</f>
        <v>8.1999999999999993</v>
      </c>
    </row>
    <row r="180" spans="1:5">
      <c r="A180" s="149">
        <v>1230520300</v>
      </c>
      <c r="B180" s="151" t="s">
        <v>140</v>
      </c>
      <c r="C180" s="150" t="s">
        <v>141</v>
      </c>
      <c r="D180" s="48">
        <f>№7!E690</f>
        <v>37</v>
      </c>
      <c r="E180" s="48">
        <f>№7!F690</f>
        <v>8.1999999999999993</v>
      </c>
    </row>
    <row r="181" spans="1:5" ht="47.25">
      <c r="A181" s="66" t="s">
        <v>318</v>
      </c>
      <c r="B181" s="66"/>
      <c r="C181" s="67" t="s">
        <v>319</v>
      </c>
      <c r="D181" s="48">
        <f>D182</f>
        <v>108</v>
      </c>
      <c r="E181" s="48">
        <f>E182</f>
        <v>108</v>
      </c>
    </row>
    <row r="182" spans="1:5" ht="31.5">
      <c r="A182" s="66" t="s">
        <v>318</v>
      </c>
      <c r="B182" s="68" t="s">
        <v>75</v>
      </c>
      <c r="C182" s="67" t="s">
        <v>107</v>
      </c>
      <c r="D182" s="48">
        <f>D183</f>
        <v>108</v>
      </c>
      <c r="E182" s="48">
        <f>E183</f>
        <v>108</v>
      </c>
    </row>
    <row r="183" spans="1:5" ht="31.5">
      <c r="A183" s="66" t="s">
        <v>318</v>
      </c>
      <c r="B183" s="66">
        <v>240</v>
      </c>
      <c r="C183" s="30" t="s">
        <v>441</v>
      </c>
      <c r="D183" s="48">
        <f>№7!E693</f>
        <v>108</v>
      </c>
      <c r="E183" s="48">
        <f>№7!F693</f>
        <v>108</v>
      </c>
    </row>
    <row r="184" spans="1:5" ht="31.5">
      <c r="A184" s="58">
        <v>1230600000</v>
      </c>
      <c r="B184" s="58"/>
      <c r="C184" s="59" t="s">
        <v>261</v>
      </c>
      <c r="D184" s="48">
        <f>D185+D192+D195</f>
        <v>1338.2</v>
      </c>
      <c r="E184" s="48">
        <f>E185+E192+E195</f>
        <v>1338</v>
      </c>
    </row>
    <row r="185" spans="1:5" ht="31.5">
      <c r="A185" s="58">
        <v>1230620300</v>
      </c>
      <c r="B185" s="58"/>
      <c r="C185" s="59" t="s">
        <v>262</v>
      </c>
      <c r="D185" s="48">
        <f>D186+D188+D190</f>
        <v>390.6</v>
      </c>
      <c r="E185" s="48">
        <f>E186+E188+E190</f>
        <v>390.6</v>
      </c>
    </row>
    <row r="186" spans="1:5" ht="49.5" customHeight="1">
      <c r="A186" s="58">
        <v>1230620300</v>
      </c>
      <c r="B186" s="60" t="s">
        <v>74</v>
      </c>
      <c r="C186" s="59" t="s">
        <v>2</v>
      </c>
      <c r="D186" s="48">
        <f>D187</f>
        <v>119.90000000000002</v>
      </c>
      <c r="E186" s="48">
        <f>E187</f>
        <v>119.9</v>
      </c>
    </row>
    <row r="187" spans="1:5" ht="31.9" customHeight="1">
      <c r="A187" s="58">
        <v>1230620300</v>
      </c>
      <c r="B187" s="58">
        <v>120</v>
      </c>
      <c r="C187" s="59" t="s">
        <v>443</v>
      </c>
      <c r="D187" s="48">
        <f>№7!E697</f>
        <v>119.90000000000002</v>
      </c>
      <c r="E187" s="48">
        <f>№7!F697</f>
        <v>119.9</v>
      </c>
    </row>
    <row r="188" spans="1:5" ht="31.5">
      <c r="A188" s="58">
        <v>1230620300</v>
      </c>
      <c r="B188" s="60" t="s">
        <v>75</v>
      </c>
      <c r="C188" s="59" t="s">
        <v>107</v>
      </c>
      <c r="D188" s="48">
        <f>D189</f>
        <v>168.2</v>
      </c>
      <c r="E188" s="48">
        <f>E189</f>
        <v>168.2</v>
      </c>
    </row>
    <row r="189" spans="1:5" ht="31.9" customHeight="1">
      <c r="A189" s="58">
        <v>1230620300</v>
      </c>
      <c r="B189" s="58">
        <v>240</v>
      </c>
      <c r="C189" s="30" t="s">
        <v>441</v>
      </c>
      <c r="D189" s="48">
        <f>№7!E699</f>
        <v>168.2</v>
      </c>
      <c r="E189" s="48">
        <f>№7!F699</f>
        <v>168.2</v>
      </c>
    </row>
    <row r="190" spans="1:5">
      <c r="A190" s="58">
        <v>1230620300</v>
      </c>
      <c r="B190" s="58" t="s">
        <v>76</v>
      </c>
      <c r="C190" s="59" t="s">
        <v>77</v>
      </c>
      <c r="D190" s="48">
        <f>D191</f>
        <v>102.5</v>
      </c>
      <c r="E190" s="48">
        <f>E191</f>
        <v>102.5</v>
      </c>
    </row>
    <row r="191" spans="1:5">
      <c r="A191" s="58">
        <v>1230620300</v>
      </c>
      <c r="B191" s="58">
        <v>850</v>
      </c>
      <c r="C191" s="59" t="s">
        <v>119</v>
      </c>
      <c r="D191" s="48">
        <f>№7!E701</f>
        <v>102.5</v>
      </c>
      <c r="E191" s="48">
        <f>№7!F701</f>
        <v>102.5</v>
      </c>
    </row>
    <row r="192" spans="1:5" ht="31.5">
      <c r="A192" s="58">
        <v>1230620310</v>
      </c>
      <c r="B192" s="58"/>
      <c r="C192" s="59" t="s">
        <v>263</v>
      </c>
      <c r="D192" s="48">
        <f>D193</f>
        <v>55.3</v>
      </c>
      <c r="E192" s="48">
        <f>E193</f>
        <v>55.3</v>
      </c>
    </row>
    <row r="193" spans="1:5" ht="31.5">
      <c r="A193" s="58">
        <v>1230620310</v>
      </c>
      <c r="B193" s="60" t="s">
        <v>75</v>
      </c>
      <c r="C193" s="59" t="s">
        <v>107</v>
      </c>
      <c r="D193" s="48">
        <f>D194</f>
        <v>55.3</v>
      </c>
      <c r="E193" s="48">
        <f>E194</f>
        <v>55.3</v>
      </c>
    </row>
    <row r="194" spans="1:5" ht="31.15" customHeight="1">
      <c r="A194" s="58">
        <v>1230620310</v>
      </c>
      <c r="B194" s="58">
        <v>240</v>
      </c>
      <c r="C194" s="30" t="s">
        <v>441</v>
      </c>
      <c r="D194" s="48">
        <f>№7!E704</f>
        <v>55.3</v>
      </c>
      <c r="E194" s="48">
        <f>№7!F704</f>
        <v>55.3</v>
      </c>
    </row>
    <row r="195" spans="1:5">
      <c r="A195" s="58">
        <v>1230620320</v>
      </c>
      <c r="B195" s="58"/>
      <c r="C195" s="59" t="s">
        <v>176</v>
      </c>
      <c r="D195" s="48">
        <f>D196+D198+D200</f>
        <v>892.3</v>
      </c>
      <c r="E195" s="48">
        <f>E196+E198+E200</f>
        <v>892.09999999999991</v>
      </c>
    </row>
    <row r="196" spans="1:5" ht="48" customHeight="1">
      <c r="A196" s="58">
        <v>1230620320</v>
      </c>
      <c r="B196" s="60" t="s">
        <v>74</v>
      </c>
      <c r="C196" s="59" t="s">
        <v>2</v>
      </c>
      <c r="D196" s="48">
        <f>D197</f>
        <v>448.1</v>
      </c>
      <c r="E196" s="48">
        <f>E197</f>
        <v>447.9</v>
      </c>
    </row>
    <row r="197" spans="1:5" ht="33" customHeight="1">
      <c r="A197" s="58">
        <v>1230620320</v>
      </c>
      <c r="B197" s="58">
        <v>120</v>
      </c>
      <c r="C197" s="178" t="s">
        <v>443</v>
      </c>
      <c r="D197" s="48">
        <f>№7!E707</f>
        <v>448.1</v>
      </c>
      <c r="E197" s="48">
        <f>№7!F707</f>
        <v>447.9</v>
      </c>
    </row>
    <row r="198" spans="1:5" ht="31.5">
      <c r="A198" s="58">
        <v>1230620320</v>
      </c>
      <c r="B198" s="60" t="s">
        <v>75</v>
      </c>
      <c r="C198" s="59" t="s">
        <v>107</v>
      </c>
      <c r="D198" s="48">
        <f>D199</f>
        <v>240.2</v>
      </c>
      <c r="E198" s="48">
        <f>E199</f>
        <v>240.2</v>
      </c>
    </row>
    <row r="199" spans="1:5" ht="33.6" customHeight="1">
      <c r="A199" s="58">
        <v>1230620320</v>
      </c>
      <c r="B199" s="58">
        <v>240</v>
      </c>
      <c r="C199" s="30" t="s">
        <v>441</v>
      </c>
      <c r="D199" s="48">
        <f>№7!E709</f>
        <v>240.2</v>
      </c>
      <c r="E199" s="48">
        <f>№7!F709</f>
        <v>240.2</v>
      </c>
    </row>
    <row r="200" spans="1:5" ht="31.5">
      <c r="A200" s="58">
        <v>1230620320</v>
      </c>
      <c r="B200" s="60" t="s">
        <v>109</v>
      </c>
      <c r="C200" s="59" t="s">
        <v>110</v>
      </c>
      <c r="D200" s="48">
        <f>D201</f>
        <v>204</v>
      </c>
      <c r="E200" s="48">
        <f>E201</f>
        <v>204</v>
      </c>
    </row>
    <row r="201" spans="1:5">
      <c r="A201" s="58">
        <v>1230620320</v>
      </c>
      <c r="B201" s="58">
        <v>610</v>
      </c>
      <c r="C201" s="59" t="s">
        <v>123</v>
      </c>
      <c r="D201" s="48">
        <f>№7!E711</f>
        <v>204</v>
      </c>
      <c r="E201" s="48">
        <f>№7!F711</f>
        <v>204</v>
      </c>
    </row>
    <row r="202" spans="1:5" ht="31.5">
      <c r="A202" s="60">
        <v>1240000000</v>
      </c>
      <c r="B202" s="58"/>
      <c r="C202" s="59" t="s">
        <v>162</v>
      </c>
      <c r="D202" s="48">
        <f>D203+D207+D231+D218+D243+D251</f>
        <v>15297.900000000001</v>
      </c>
      <c r="E202" s="48">
        <f>E203+E207+E231+E218+E243+E251</f>
        <v>15297.900000000001</v>
      </c>
    </row>
    <row r="203" spans="1:5" ht="31.5">
      <c r="A203" s="60">
        <v>1240100000</v>
      </c>
      <c r="B203" s="58"/>
      <c r="C203" s="59" t="s">
        <v>254</v>
      </c>
      <c r="D203" s="48">
        <f t="shared" ref="D203:E205" si="9">D204</f>
        <v>385</v>
      </c>
      <c r="E203" s="48">
        <f t="shared" si="9"/>
        <v>385</v>
      </c>
    </row>
    <row r="204" spans="1:5" ht="31.5">
      <c r="A204" s="60">
        <v>1240120330</v>
      </c>
      <c r="B204" s="58"/>
      <c r="C204" s="59" t="s">
        <v>180</v>
      </c>
      <c r="D204" s="48">
        <f t="shared" si="9"/>
        <v>385</v>
      </c>
      <c r="E204" s="48">
        <f t="shared" si="9"/>
        <v>385</v>
      </c>
    </row>
    <row r="205" spans="1:5" ht="31.5">
      <c r="A205" s="60">
        <v>1240120330</v>
      </c>
      <c r="B205" s="60" t="s">
        <v>109</v>
      </c>
      <c r="C205" s="59" t="s">
        <v>110</v>
      </c>
      <c r="D205" s="48">
        <f t="shared" si="9"/>
        <v>385</v>
      </c>
      <c r="E205" s="48">
        <f t="shared" si="9"/>
        <v>385</v>
      </c>
    </row>
    <row r="206" spans="1:5" ht="31.5">
      <c r="A206" s="60">
        <v>1240120330</v>
      </c>
      <c r="B206" s="58">
        <v>630</v>
      </c>
      <c r="C206" s="59" t="s">
        <v>181</v>
      </c>
      <c r="D206" s="48">
        <f>№7!E624</f>
        <v>385</v>
      </c>
      <c r="E206" s="48">
        <f>№7!F624</f>
        <v>385</v>
      </c>
    </row>
    <row r="207" spans="1:5" ht="31.5">
      <c r="A207" s="60">
        <v>1240200000</v>
      </c>
      <c r="B207" s="58"/>
      <c r="C207" s="59" t="s">
        <v>182</v>
      </c>
      <c r="D207" s="48">
        <f>D213+D208</f>
        <v>161.79999999999998</v>
      </c>
      <c r="E207" s="48">
        <f>E213+E208</f>
        <v>161.80000000000001</v>
      </c>
    </row>
    <row r="208" spans="1:5">
      <c r="A208" s="58">
        <v>1240220340</v>
      </c>
      <c r="B208" s="58"/>
      <c r="C208" s="30" t="s">
        <v>193</v>
      </c>
      <c r="D208" s="48">
        <f>D209+D211</f>
        <v>59.699999999999996</v>
      </c>
      <c r="E208" s="48">
        <f>E209+E211</f>
        <v>59.7</v>
      </c>
    </row>
    <row r="209" spans="1:5" ht="31.5">
      <c r="A209" s="58">
        <v>1240220340</v>
      </c>
      <c r="B209" s="60" t="s">
        <v>75</v>
      </c>
      <c r="C209" s="59" t="s">
        <v>107</v>
      </c>
      <c r="D209" s="48">
        <f>D210</f>
        <v>44.699999999999996</v>
      </c>
      <c r="E209" s="48">
        <f>E210</f>
        <v>44.7</v>
      </c>
    </row>
    <row r="210" spans="1:5" ht="31.9" customHeight="1">
      <c r="A210" s="58">
        <v>1240220340</v>
      </c>
      <c r="B210" s="58">
        <v>240</v>
      </c>
      <c r="C210" s="30" t="s">
        <v>441</v>
      </c>
      <c r="D210" s="48">
        <f>№7!E103</f>
        <v>44.699999999999996</v>
      </c>
      <c r="E210" s="48">
        <f>№7!F103</f>
        <v>44.7</v>
      </c>
    </row>
    <row r="211" spans="1:5">
      <c r="A211" s="58">
        <v>1240220340</v>
      </c>
      <c r="B211" s="60" t="s">
        <v>79</v>
      </c>
      <c r="C211" s="59" t="s">
        <v>80</v>
      </c>
      <c r="D211" s="48">
        <f>D212</f>
        <v>15</v>
      </c>
      <c r="E211" s="48">
        <f>E212</f>
        <v>15</v>
      </c>
    </row>
    <row r="212" spans="1:5">
      <c r="A212" s="58">
        <v>1240220340</v>
      </c>
      <c r="B212" s="58">
        <v>350</v>
      </c>
      <c r="C212" s="22" t="s">
        <v>194</v>
      </c>
      <c r="D212" s="48">
        <f>№7!E105</f>
        <v>15</v>
      </c>
      <c r="E212" s="48">
        <f>№7!F105</f>
        <v>15</v>
      </c>
    </row>
    <row r="213" spans="1:5" ht="31.5">
      <c r="A213" s="60">
        <v>1240220350</v>
      </c>
      <c r="B213" s="58"/>
      <c r="C213" s="59" t="s">
        <v>255</v>
      </c>
      <c r="D213" s="48">
        <f>D214+D216</f>
        <v>102.1</v>
      </c>
      <c r="E213" s="48">
        <f>E214+E216</f>
        <v>102.1</v>
      </c>
    </row>
    <row r="214" spans="1:5" ht="31.5">
      <c r="A214" s="60">
        <v>1240220350</v>
      </c>
      <c r="B214" s="60" t="s">
        <v>75</v>
      </c>
      <c r="C214" s="59" t="s">
        <v>107</v>
      </c>
      <c r="D214" s="48">
        <f>D215</f>
        <v>1.1000000000000001</v>
      </c>
      <c r="E214" s="48">
        <f>E215</f>
        <v>1.1000000000000001</v>
      </c>
    </row>
    <row r="215" spans="1:5" ht="36.6" customHeight="1">
      <c r="A215" s="60">
        <v>1240220350</v>
      </c>
      <c r="B215" s="58">
        <v>240</v>
      </c>
      <c r="C215" s="30" t="s">
        <v>441</v>
      </c>
      <c r="D215" s="48">
        <f>№7!E628</f>
        <v>1.1000000000000001</v>
      </c>
      <c r="E215" s="48">
        <f>№7!F628</f>
        <v>1.1000000000000001</v>
      </c>
    </row>
    <row r="216" spans="1:5">
      <c r="A216" s="60">
        <v>1240220350</v>
      </c>
      <c r="B216" s="58" t="s">
        <v>79</v>
      </c>
      <c r="C216" s="59" t="s">
        <v>80</v>
      </c>
      <c r="D216" s="48">
        <f>D217</f>
        <v>101</v>
      </c>
      <c r="E216" s="48">
        <f>E217</f>
        <v>101</v>
      </c>
    </row>
    <row r="217" spans="1:5">
      <c r="A217" s="60">
        <v>1240220350</v>
      </c>
      <c r="B217" s="58" t="s">
        <v>177</v>
      </c>
      <c r="C217" s="59" t="s">
        <v>178</v>
      </c>
      <c r="D217" s="48">
        <f>№7!E630</f>
        <v>101</v>
      </c>
      <c r="E217" s="48">
        <f>№7!F630</f>
        <v>101</v>
      </c>
    </row>
    <row r="218" spans="1:5">
      <c r="A218" s="58">
        <v>1240300000</v>
      </c>
      <c r="B218" s="58"/>
      <c r="C218" s="59" t="s">
        <v>256</v>
      </c>
      <c r="D218" s="48">
        <f>D222+D225+D228+D219</f>
        <v>2824.2</v>
      </c>
      <c r="E218" s="48">
        <f>E222+E225+E228+E219</f>
        <v>2824.2</v>
      </c>
    </row>
    <row r="219" spans="1:5" ht="47.25">
      <c r="A219" s="81">
        <v>1240310320</v>
      </c>
      <c r="B219" s="81"/>
      <c r="C219" s="82" t="s">
        <v>342</v>
      </c>
      <c r="D219" s="48">
        <f>D220</f>
        <v>455.6</v>
      </c>
      <c r="E219" s="48">
        <f>E220</f>
        <v>455.6</v>
      </c>
    </row>
    <row r="220" spans="1:5">
      <c r="A220" s="81">
        <v>1240310320</v>
      </c>
      <c r="B220" s="81" t="s">
        <v>76</v>
      </c>
      <c r="C220" s="82" t="s">
        <v>77</v>
      </c>
      <c r="D220" s="48">
        <f>D221</f>
        <v>455.6</v>
      </c>
      <c r="E220" s="48">
        <f>E221</f>
        <v>455.6</v>
      </c>
    </row>
    <row r="221" spans="1:5" ht="47.25">
      <c r="A221" s="81">
        <v>1240310320</v>
      </c>
      <c r="B221" s="81" t="s">
        <v>187</v>
      </c>
      <c r="C221" s="82" t="s">
        <v>188</v>
      </c>
      <c r="D221" s="48">
        <f>№7!E728</f>
        <v>455.6</v>
      </c>
      <c r="E221" s="48">
        <f>№7!F728</f>
        <v>455.6</v>
      </c>
    </row>
    <row r="222" spans="1:5" ht="31.5">
      <c r="A222" s="58">
        <v>1240320360</v>
      </c>
      <c r="B222" s="58"/>
      <c r="C222" s="59" t="s">
        <v>183</v>
      </c>
      <c r="D222" s="48">
        <f>D223</f>
        <v>942.5</v>
      </c>
      <c r="E222" s="48">
        <f>E223</f>
        <v>942.5</v>
      </c>
    </row>
    <row r="223" spans="1:5">
      <c r="A223" s="58">
        <v>1240320360</v>
      </c>
      <c r="B223" s="58" t="s">
        <v>76</v>
      </c>
      <c r="C223" s="59" t="s">
        <v>77</v>
      </c>
      <c r="D223" s="48">
        <f>D224</f>
        <v>942.5</v>
      </c>
      <c r="E223" s="48">
        <f>E224</f>
        <v>942.5</v>
      </c>
    </row>
    <row r="224" spans="1:5" ht="47.25">
      <c r="A224" s="58">
        <v>1240320360</v>
      </c>
      <c r="B224" s="58" t="s">
        <v>187</v>
      </c>
      <c r="C224" s="59" t="s">
        <v>188</v>
      </c>
      <c r="D224" s="48">
        <f>№7!E731</f>
        <v>942.5</v>
      </c>
      <c r="E224" s="48">
        <f>№7!F731</f>
        <v>942.5</v>
      </c>
    </row>
    <row r="225" spans="1:5" ht="51.6" customHeight="1">
      <c r="A225" s="58">
        <v>1240320370</v>
      </c>
      <c r="B225" s="58"/>
      <c r="C225" s="59" t="s">
        <v>184</v>
      </c>
      <c r="D225" s="48">
        <f>D226</f>
        <v>639.6</v>
      </c>
      <c r="E225" s="48">
        <f>E226</f>
        <v>639.6</v>
      </c>
    </row>
    <row r="226" spans="1:5">
      <c r="A226" s="58">
        <v>1240320370</v>
      </c>
      <c r="B226" s="58" t="s">
        <v>76</v>
      </c>
      <c r="C226" s="59" t="s">
        <v>77</v>
      </c>
      <c r="D226" s="48">
        <f>D227</f>
        <v>639.6</v>
      </c>
      <c r="E226" s="48">
        <f>E227</f>
        <v>639.6</v>
      </c>
    </row>
    <row r="227" spans="1:5" ht="47.25">
      <c r="A227" s="58">
        <v>1240320370</v>
      </c>
      <c r="B227" s="58" t="s">
        <v>187</v>
      </c>
      <c r="C227" s="59" t="s">
        <v>188</v>
      </c>
      <c r="D227" s="48">
        <f>№7!E734</f>
        <v>639.6</v>
      </c>
      <c r="E227" s="48">
        <f>№7!F734</f>
        <v>639.6</v>
      </c>
    </row>
    <row r="228" spans="1:5" ht="47.25">
      <c r="A228" s="58" t="s">
        <v>186</v>
      </c>
      <c r="B228" s="58"/>
      <c r="C228" s="59" t="s">
        <v>185</v>
      </c>
      <c r="D228" s="48">
        <f>D229</f>
        <v>786.5</v>
      </c>
      <c r="E228" s="48">
        <f>E229</f>
        <v>786.5</v>
      </c>
    </row>
    <row r="229" spans="1:5">
      <c r="A229" s="58" t="s">
        <v>186</v>
      </c>
      <c r="B229" s="58" t="s">
        <v>76</v>
      </c>
      <c r="C229" s="59" t="s">
        <v>77</v>
      </c>
      <c r="D229" s="48">
        <f>D230</f>
        <v>786.5</v>
      </c>
      <c r="E229" s="48">
        <f>E230</f>
        <v>786.5</v>
      </c>
    </row>
    <row r="230" spans="1:5" ht="47.25">
      <c r="A230" s="58" t="s">
        <v>186</v>
      </c>
      <c r="B230" s="58" t="s">
        <v>187</v>
      </c>
      <c r="C230" s="59" t="s">
        <v>188</v>
      </c>
      <c r="D230" s="48">
        <f>№7!E737</f>
        <v>786.5</v>
      </c>
      <c r="E230" s="48">
        <f>№7!F737</f>
        <v>786.5</v>
      </c>
    </row>
    <row r="231" spans="1:5">
      <c r="A231" s="58">
        <v>1240400000</v>
      </c>
      <c r="B231" s="58"/>
      <c r="C231" s="59" t="s">
        <v>253</v>
      </c>
      <c r="D231" s="48">
        <f>D232+D240+D235</f>
        <v>11059.2</v>
      </c>
      <c r="E231" s="48">
        <f>E232+E240+E235</f>
        <v>11059.2</v>
      </c>
    </row>
    <row r="232" spans="1:5">
      <c r="A232" s="58">
        <v>1240420380</v>
      </c>
      <c r="B232" s="58"/>
      <c r="C232" s="59" t="s">
        <v>179</v>
      </c>
      <c r="D232" s="48">
        <f>D233</f>
        <v>217</v>
      </c>
      <c r="E232" s="48">
        <f>E233</f>
        <v>217</v>
      </c>
    </row>
    <row r="233" spans="1:5">
      <c r="A233" s="58">
        <v>1240420380</v>
      </c>
      <c r="B233" s="60" t="s">
        <v>79</v>
      </c>
      <c r="C233" s="59" t="s">
        <v>80</v>
      </c>
      <c r="D233" s="48">
        <f>D234</f>
        <v>217</v>
      </c>
      <c r="E233" s="48">
        <f>E234</f>
        <v>217</v>
      </c>
    </row>
    <row r="234" spans="1:5" ht="31.5">
      <c r="A234" s="58">
        <v>1240420380</v>
      </c>
      <c r="B234" s="60" t="s">
        <v>120</v>
      </c>
      <c r="C234" s="59" t="s">
        <v>121</v>
      </c>
      <c r="D234" s="48">
        <f>№7!E634</f>
        <v>217</v>
      </c>
      <c r="E234" s="48">
        <f>№7!F634</f>
        <v>217</v>
      </c>
    </row>
    <row r="235" spans="1:5" ht="47.25">
      <c r="A235" s="58">
        <v>1240420390</v>
      </c>
      <c r="B235" s="58"/>
      <c r="C235" s="30" t="s">
        <v>73</v>
      </c>
      <c r="D235" s="48">
        <f>D236+D238</f>
        <v>1270.7</v>
      </c>
      <c r="E235" s="48">
        <f>E236+E238</f>
        <v>1270.7</v>
      </c>
    </row>
    <row r="236" spans="1:5" ht="31.5">
      <c r="A236" s="58">
        <v>1240420390</v>
      </c>
      <c r="B236" s="60" t="s">
        <v>75</v>
      </c>
      <c r="C236" s="59" t="s">
        <v>107</v>
      </c>
      <c r="D236" s="48">
        <f>D237</f>
        <v>7.3</v>
      </c>
      <c r="E236" s="48">
        <f>E237</f>
        <v>7.3</v>
      </c>
    </row>
    <row r="237" spans="1:5" ht="29.25" customHeight="1">
      <c r="A237" s="58">
        <v>1240420390</v>
      </c>
      <c r="B237" s="58">
        <v>240</v>
      </c>
      <c r="C237" s="30" t="s">
        <v>441</v>
      </c>
      <c r="D237" s="48">
        <f>№7!E615</f>
        <v>7.3</v>
      </c>
      <c r="E237" s="48">
        <f>№7!F615</f>
        <v>7.3</v>
      </c>
    </row>
    <row r="238" spans="1:5">
      <c r="A238" s="58">
        <v>1240420390</v>
      </c>
      <c r="B238" s="60" t="s">
        <v>79</v>
      </c>
      <c r="C238" s="59" t="s">
        <v>80</v>
      </c>
      <c r="D238" s="48">
        <f>D239</f>
        <v>1263.4000000000001</v>
      </c>
      <c r="E238" s="48">
        <f>E239</f>
        <v>1263.4000000000001</v>
      </c>
    </row>
    <row r="239" spans="1:5">
      <c r="A239" s="58">
        <v>1240420390</v>
      </c>
      <c r="B239" s="60" t="s">
        <v>177</v>
      </c>
      <c r="C239" s="59" t="s">
        <v>178</v>
      </c>
      <c r="D239" s="48">
        <f>№7!E617</f>
        <v>1263.4000000000001</v>
      </c>
      <c r="E239" s="48">
        <f>№7!F617</f>
        <v>1263.4000000000001</v>
      </c>
    </row>
    <row r="240" spans="1:5">
      <c r="A240" s="66" t="s">
        <v>340</v>
      </c>
      <c r="B240" s="66"/>
      <c r="C240" s="67" t="s">
        <v>339</v>
      </c>
      <c r="D240" s="48">
        <f>D241</f>
        <v>9571.5</v>
      </c>
      <c r="E240" s="48">
        <f>E241</f>
        <v>9571.5</v>
      </c>
    </row>
    <row r="241" spans="1:5">
      <c r="A241" s="66" t="s">
        <v>340</v>
      </c>
      <c r="B241" s="1" t="s">
        <v>79</v>
      </c>
      <c r="C241" s="36" t="s">
        <v>80</v>
      </c>
      <c r="D241" s="48">
        <f>D242</f>
        <v>9571.5</v>
      </c>
      <c r="E241" s="48">
        <f>E242</f>
        <v>9571.5</v>
      </c>
    </row>
    <row r="242" spans="1:5" ht="31.5">
      <c r="A242" s="66" t="s">
        <v>340</v>
      </c>
      <c r="B242" s="1" t="s">
        <v>120</v>
      </c>
      <c r="C242" s="36" t="s">
        <v>121</v>
      </c>
      <c r="D242" s="48">
        <f>№7!E637</f>
        <v>9571.5</v>
      </c>
      <c r="E242" s="48">
        <f>№7!F637</f>
        <v>9571.5</v>
      </c>
    </row>
    <row r="243" spans="1:5">
      <c r="A243" s="58">
        <v>1240500000</v>
      </c>
      <c r="B243" s="58"/>
      <c r="C243" s="59" t="s">
        <v>163</v>
      </c>
      <c r="D243" s="48">
        <f>D244+D248</f>
        <v>721.1</v>
      </c>
      <c r="E243" s="48">
        <f>E244+E248</f>
        <v>721.09999999999991</v>
      </c>
    </row>
    <row r="244" spans="1:5" ht="31.5">
      <c r="A244" s="58">
        <v>1240520410</v>
      </c>
      <c r="B244" s="58"/>
      <c r="C244" s="59" t="s">
        <v>272</v>
      </c>
      <c r="D244" s="48">
        <f>D245</f>
        <v>205.70000000000002</v>
      </c>
      <c r="E244" s="48">
        <f>E245</f>
        <v>205.7</v>
      </c>
    </row>
    <row r="245" spans="1:5">
      <c r="A245" s="58">
        <v>1240520410</v>
      </c>
      <c r="B245" s="58" t="s">
        <v>76</v>
      </c>
      <c r="C245" s="59" t="s">
        <v>77</v>
      </c>
      <c r="D245" s="48">
        <f>D246+D247</f>
        <v>205.70000000000002</v>
      </c>
      <c r="E245" s="48">
        <f>E246+E247</f>
        <v>205.7</v>
      </c>
    </row>
    <row r="246" spans="1:5">
      <c r="A246" s="58">
        <v>1240520410</v>
      </c>
      <c r="B246" s="58">
        <v>850</v>
      </c>
      <c r="C246" s="59" t="s">
        <v>119</v>
      </c>
      <c r="D246" s="48">
        <f>№7!E109</f>
        <v>117.10000000000002</v>
      </c>
      <c r="E246" s="48">
        <f>№7!F109</f>
        <v>117.1</v>
      </c>
    </row>
    <row r="247" spans="1:5" ht="34.9" customHeight="1">
      <c r="A247" s="58">
        <v>1240520410</v>
      </c>
      <c r="B247" s="58">
        <v>860</v>
      </c>
      <c r="C247" s="59" t="s">
        <v>444</v>
      </c>
      <c r="D247" s="48">
        <f>№7!E90</f>
        <v>88.6</v>
      </c>
      <c r="E247" s="48">
        <f>№7!F90</f>
        <v>88.6</v>
      </c>
    </row>
    <row r="248" spans="1:5" ht="31.5">
      <c r="A248" s="58">
        <v>1240520460</v>
      </c>
      <c r="B248" s="58"/>
      <c r="C248" s="59" t="s">
        <v>195</v>
      </c>
      <c r="D248" s="48">
        <f>D249</f>
        <v>515.4</v>
      </c>
      <c r="E248" s="48">
        <f>E249</f>
        <v>515.4</v>
      </c>
    </row>
    <row r="249" spans="1:5" ht="31.5">
      <c r="A249" s="58">
        <v>1240520460</v>
      </c>
      <c r="B249" s="60" t="s">
        <v>75</v>
      </c>
      <c r="C249" s="59" t="s">
        <v>107</v>
      </c>
      <c r="D249" s="48">
        <f>D250</f>
        <v>515.4</v>
      </c>
      <c r="E249" s="48">
        <f>E250</f>
        <v>515.4</v>
      </c>
    </row>
    <row r="250" spans="1:5" ht="34.15" customHeight="1">
      <c r="A250" s="58">
        <v>1240520460</v>
      </c>
      <c r="B250" s="58">
        <v>240</v>
      </c>
      <c r="C250" s="30" t="s">
        <v>441</v>
      </c>
      <c r="D250" s="48">
        <f>№7!E112</f>
        <v>515.4</v>
      </c>
      <c r="E250" s="48">
        <f>№7!F112</f>
        <v>515.4</v>
      </c>
    </row>
    <row r="251" spans="1:5">
      <c r="A251" s="81" t="s">
        <v>164</v>
      </c>
      <c r="B251" s="11"/>
      <c r="C251" s="59" t="s">
        <v>163</v>
      </c>
      <c r="D251" s="48">
        <f>D252+D255+D258+D261</f>
        <v>146.6</v>
      </c>
      <c r="E251" s="48">
        <f>E252+E255+E258+E261</f>
        <v>146.6</v>
      </c>
    </row>
    <row r="252" spans="1:5">
      <c r="A252" s="11" t="s">
        <v>264</v>
      </c>
      <c r="B252" s="13"/>
      <c r="C252" s="59" t="s">
        <v>176</v>
      </c>
      <c r="D252" s="48">
        <f>D253</f>
        <v>74.3</v>
      </c>
      <c r="E252" s="48">
        <f>E253</f>
        <v>74.3</v>
      </c>
    </row>
    <row r="253" spans="1:5" ht="31.5">
      <c r="A253" s="11" t="s">
        <v>264</v>
      </c>
      <c r="B253" s="60" t="s">
        <v>109</v>
      </c>
      <c r="C253" s="59" t="s">
        <v>110</v>
      </c>
      <c r="D253" s="48">
        <f>D254</f>
        <v>74.3</v>
      </c>
      <c r="E253" s="48">
        <f>E254</f>
        <v>74.3</v>
      </c>
    </row>
    <row r="254" spans="1:5">
      <c r="A254" s="11" t="s">
        <v>264</v>
      </c>
      <c r="B254" s="58">
        <v>610</v>
      </c>
      <c r="C254" s="59" t="s">
        <v>123</v>
      </c>
      <c r="D254" s="48">
        <f>№7!E517</f>
        <v>74.3</v>
      </c>
      <c r="E254" s="48">
        <f>№7!F517</f>
        <v>74.3</v>
      </c>
    </row>
    <row r="255" spans="1:5">
      <c r="A255" s="11" t="s">
        <v>166</v>
      </c>
      <c r="B255" s="11"/>
      <c r="C255" s="59" t="s">
        <v>165</v>
      </c>
      <c r="D255" s="48">
        <f>D256</f>
        <v>22.3</v>
      </c>
      <c r="E255" s="48">
        <f>E256</f>
        <v>22.3</v>
      </c>
    </row>
    <row r="256" spans="1:5" ht="31.5">
      <c r="A256" s="11" t="s">
        <v>166</v>
      </c>
      <c r="B256" s="60" t="s">
        <v>75</v>
      </c>
      <c r="C256" s="59" t="s">
        <v>107</v>
      </c>
      <c r="D256" s="48">
        <f>D257</f>
        <v>22.3</v>
      </c>
      <c r="E256" s="48">
        <f>E257</f>
        <v>22.3</v>
      </c>
    </row>
    <row r="257" spans="1:5" ht="31.9" customHeight="1">
      <c r="A257" s="11" t="s">
        <v>166</v>
      </c>
      <c r="B257" s="58">
        <v>240</v>
      </c>
      <c r="C257" s="30" t="s">
        <v>441</v>
      </c>
      <c r="D257" s="48">
        <f>№7!E520</f>
        <v>22.3</v>
      </c>
      <c r="E257" s="48">
        <f>№7!F520</f>
        <v>22.3</v>
      </c>
    </row>
    <row r="258" spans="1:5">
      <c r="A258" s="11" t="s">
        <v>168</v>
      </c>
      <c r="B258" s="11"/>
      <c r="C258" s="59" t="s">
        <v>167</v>
      </c>
      <c r="D258" s="48">
        <f>D259</f>
        <v>14</v>
      </c>
      <c r="E258" s="48">
        <f>E259</f>
        <v>14</v>
      </c>
    </row>
    <row r="259" spans="1:5" ht="31.5">
      <c r="A259" s="11" t="s">
        <v>168</v>
      </c>
      <c r="B259" s="60" t="s">
        <v>75</v>
      </c>
      <c r="C259" s="59" t="s">
        <v>107</v>
      </c>
      <c r="D259" s="48">
        <f>D260</f>
        <v>14</v>
      </c>
      <c r="E259" s="48">
        <f>E260</f>
        <v>14</v>
      </c>
    </row>
    <row r="260" spans="1:5" ht="35.450000000000003" customHeight="1">
      <c r="A260" s="11" t="s">
        <v>168</v>
      </c>
      <c r="B260" s="58">
        <v>240</v>
      </c>
      <c r="C260" s="30" t="s">
        <v>441</v>
      </c>
      <c r="D260" s="48">
        <f>№7!E523</f>
        <v>14</v>
      </c>
      <c r="E260" s="48">
        <f>№7!F523</f>
        <v>14</v>
      </c>
    </row>
    <row r="261" spans="1:5">
      <c r="A261" s="11" t="s">
        <v>266</v>
      </c>
      <c r="B261" s="11"/>
      <c r="C261" s="59" t="s">
        <v>169</v>
      </c>
      <c r="D261" s="48">
        <f>D262</f>
        <v>36</v>
      </c>
      <c r="E261" s="48">
        <f>E262</f>
        <v>36</v>
      </c>
    </row>
    <row r="262" spans="1:5">
      <c r="A262" s="11" t="s">
        <v>266</v>
      </c>
      <c r="B262" s="60" t="s">
        <v>79</v>
      </c>
      <c r="C262" s="59" t="s">
        <v>80</v>
      </c>
      <c r="D262" s="48">
        <f>D263</f>
        <v>36</v>
      </c>
      <c r="E262" s="48">
        <f>E263</f>
        <v>36</v>
      </c>
    </row>
    <row r="263" spans="1:5">
      <c r="A263" s="11" t="s">
        <v>266</v>
      </c>
      <c r="B263" s="11" t="s">
        <v>170</v>
      </c>
      <c r="C263" s="59" t="s">
        <v>171</v>
      </c>
      <c r="D263" s="48">
        <f>№7!E526</f>
        <v>36</v>
      </c>
      <c r="E263" s="48">
        <f>№7!F526</f>
        <v>36</v>
      </c>
    </row>
    <row r="264" spans="1:5" ht="33" customHeight="1">
      <c r="A264" s="39">
        <v>1300000000</v>
      </c>
      <c r="B264" s="19"/>
      <c r="C264" s="32" t="s">
        <v>237</v>
      </c>
      <c r="D264" s="47">
        <f>D265+D283+D310</f>
        <v>85401.4</v>
      </c>
      <c r="E264" s="47">
        <f>E265+E283+E310</f>
        <v>34460.800000000003</v>
      </c>
    </row>
    <row r="265" spans="1:5" ht="47.25">
      <c r="A265" s="60">
        <v>1310000000</v>
      </c>
      <c r="B265" s="58"/>
      <c r="C265" s="145" t="s">
        <v>287</v>
      </c>
      <c r="D265" s="48">
        <f>D266+D273</f>
        <v>66119.399999999994</v>
      </c>
      <c r="E265" s="48">
        <f>E266+E273</f>
        <v>15493.2</v>
      </c>
    </row>
    <row r="266" spans="1:5" ht="31.5">
      <c r="A266" s="60">
        <v>1310100000</v>
      </c>
      <c r="B266" s="30"/>
      <c r="C266" s="59" t="s">
        <v>151</v>
      </c>
      <c r="D266" s="48">
        <f>D270+D267</f>
        <v>7414.5</v>
      </c>
      <c r="E266" s="48">
        <f>E270+E267</f>
        <v>7114.5</v>
      </c>
    </row>
    <row r="267" spans="1:5">
      <c r="A267" s="88">
        <v>1310120100</v>
      </c>
      <c r="B267" s="88"/>
      <c r="C267" s="51" t="s">
        <v>356</v>
      </c>
      <c r="D267" s="48">
        <f>D268</f>
        <v>223.70000000000002</v>
      </c>
      <c r="E267" s="48">
        <f>E268</f>
        <v>67.900000000000006</v>
      </c>
    </row>
    <row r="268" spans="1:5" ht="31.5">
      <c r="A268" s="88">
        <v>1310120100</v>
      </c>
      <c r="B268" s="90" t="s">
        <v>75</v>
      </c>
      <c r="C268" s="89" t="s">
        <v>107</v>
      </c>
      <c r="D268" s="48">
        <f>D269</f>
        <v>223.70000000000002</v>
      </c>
      <c r="E268" s="48">
        <f>E269</f>
        <v>67.900000000000006</v>
      </c>
    </row>
    <row r="269" spans="1:5" ht="33.6" customHeight="1">
      <c r="A269" s="88">
        <v>1310120100</v>
      </c>
      <c r="B269" s="88">
        <v>240</v>
      </c>
      <c r="C269" s="30" t="s">
        <v>441</v>
      </c>
      <c r="D269" s="48">
        <f>№7!E306</f>
        <v>223.70000000000002</v>
      </c>
      <c r="E269" s="48">
        <f>№7!F306</f>
        <v>67.900000000000006</v>
      </c>
    </row>
    <row r="270" spans="1:5">
      <c r="A270" s="58" t="s">
        <v>152</v>
      </c>
      <c r="B270" s="58"/>
      <c r="C270" s="63" t="s">
        <v>338</v>
      </c>
      <c r="D270" s="48">
        <f>D271</f>
        <v>7190.8</v>
      </c>
      <c r="E270" s="48">
        <f>E271</f>
        <v>7046.6</v>
      </c>
    </row>
    <row r="271" spans="1:5" ht="31.5">
      <c r="A271" s="58" t="s">
        <v>152</v>
      </c>
      <c r="B271" s="60" t="s">
        <v>75</v>
      </c>
      <c r="C271" s="59" t="s">
        <v>107</v>
      </c>
      <c r="D271" s="48">
        <f>D272</f>
        <v>7190.8</v>
      </c>
      <c r="E271" s="48">
        <f>E272</f>
        <v>7046.6</v>
      </c>
    </row>
    <row r="272" spans="1:5" ht="31.9" customHeight="1">
      <c r="A272" s="58" t="s">
        <v>152</v>
      </c>
      <c r="B272" s="58">
        <v>240</v>
      </c>
      <c r="C272" s="30" t="s">
        <v>441</v>
      </c>
      <c r="D272" s="48">
        <f>№7!E309</f>
        <v>7190.8</v>
      </c>
      <c r="E272" s="48">
        <f>№7!F309</f>
        <v>7046.6</v>
      </c>
    </row>
    <row r="273" spans="1:5" ht="33.6" customHeight="1">
      <c r="A273" s="60">
        <v>1310200000</v>
      </c>
      <c r="B273" s="58"/>
      <c r="C273" s="59" t="s">
        <v>153</v>
      </c>
      <c r="D273" s="48">
        <f>D277+D274+D280</f>
        <v>58704.9</v>
      </c>
      <c r="E273" s="48">
        <f>E277+E274+E280</f>
        <v>8378.7000000000007</v>
      </c>
    </row>
    <row r="274" spans="1:5" ht="14.25" customHeight="1">
      <c r="A274" s="91">
        <v>1310220100</v>
      </c>
      <c r="B274" s="91"/>
      <c r="C274" s="51" t="s">
        <v>356</v>
      </c>
      <c r="D274" s="48">
        <f>D275</f>
        <v>112.70000000000002</v>
      </c>
      <c r="E274" s="48">
        <f>E275</f>
        <v>0</v>
      </c>
    </row>
    <row r="275" spans="1:5" ht="33.6" customHeight="1">
      <c r="A275" s="91">
        <v>1310220100</v>
      </c>
      <c r="B275" s="93" t="s">
        <v>75</v>
      </c>
      <c r="C275" s="92" t="s">
        <v>107</v>
      </c>
      <c r="D275" s="48">
        <f>D276</f>
        <v>112.70000000000002</v>
      </c>
      <c r="E275" s="48">
        <f>E276</f>
        <v>0</v>
      </c>
    </row>
    <row r="276" spans="1:5" ht="33.6" customHeight="1">
      <c r="A276" s="91">
        <v>1310220100</v>
      </c>
      <c r="B276" s="91">
        <v>240</v>
      </c>
      <c r="C276" s="30" t="s">
        <v>441</v>
      </c>
      <c r="D276" s="48">
        <f>№7!E313</f>
        <v>112.70000000000002</v>
      </c>
      <c r="E276" s="48">
        <f>№7!F313</f>
        <v>0</v>
      </c>
    </row>
    <row r="277" spans="1:5">
      <c r="A277" s="58" t="s">
        <v>154</v>
      </c>
      <c r="B277" s="58"/>
      <c r="C277" s="63" t="s">
        <v>338</v>
      </c>
      <c r="D277" s="48">
        <f>D278</f>
        <v>8592.2000000000007</v>
      </c>
      <c r="E277" s="48">
        <f>E278</f>
        <v>8378.7000000000007</v>
      </c>
    </row>
    <row r="278" spans="1:5" ht="31.5">
      <c r="A278" s="58" t="s">
        <v>154</v>
      </c>
      <c r="B278" s="60" t="s">
        <v>75</v>
      </c>
      <c r="C278" s="59" t="s">
        <v>107</v>
      </c>
      <c r="D278" s="48">
        <f>D279</f>
        <v>8592.2000000000007</v>
      </c>
      <c r="E278" s="48">
        <f>E279</f>
        <v>8378.7000000000007</v>
      </c>
    </row>
    <row r="279" spans="1:5" ht="33.6" customHeight="1">
      <c r="A279" s="58" t="s">
        <v>154</v>
      </c>
      <c r="B279" s="58">
        <v>240</v>
      </c>
      <c r="C279" s="30" t="s">
        <v>441</v>
      </c>
      <c r="D279" s="48">
        <f>№7!E316</f>
        <v>8592.2000000000007</v>
      </c>
      <c r="E279" s="48">
        <f>№7!F316</f>
        <v>8378.7000000000007</v>
      </c>
    </row>
    <row r="280" spans="1:5" ht="63">
      <c r="A280" s="179" t="s">
        <v>445</v>
      </c>
      <c r="B280" s="179"/>
      <c r="C280" s="180" t="s">
        <v>446</v>
      </c>
      <c r="D280" s="48">
        <f>D281</f>
        <v>50000</v>
      </c>
      <c r="E280" s="48">
        <f>E281</f>
        <v>0</v>
      </c>
    </row>
    <row r="281" spans="1:5" ht="31.5">
      <c r="A281" s="179" t="s">
        <v>445</v>
      </c>
      <c r="B281" s="181" t="s">
        <v>75</v>
      </c>
      <c r="C281" s="180" t="s">
        <v>107</v>
      </c>
      <c r="D281" s="48">
        <f>D282</f>
        <v>50000</v>
      </c>
      <c r="E281" s="48">
        <f>E282</f>
        <v>0</v>
      </c>
    </row>
    <row r="282" spans="1:5" ht="31.5">
      <c r="A282" s="179" t="s">
        <v>445</v>
      </c>
      <c r="B282" s="179">
        <v>240</v>
      </c>
      <c r="C282" s="180" t="s">
        <v>441</v>
      </c>
      <c r="D282" s="48">
        <f>№7!E319</f>
        <v>50000</v>
      </c>
      <c r="E282" s="48">
        <f>№7!F319</f>
        <v>0</v>
      </c>
    </row>
    <row r="283" spans="1:5">
      <c r="A283" s="60">
        <v>1320000000</v>
      </c>
      <c r="B283" s="58"/>
      <c r="C283" s="92" t="s">
        <v>244</v>
      </c>
      <c r="D283" s="48">
        <f>D284+D294</f>
        <v>18612.199999999997</v>
      </c>
      <c r="E283" s="48">
        <f>E284+E294</f>
        <v>18297.8</v>
      </c>
    </row>
    <row r="284" spans="1:5" ht="31.5">
      <c r="A284" s="60">
        <v>1320100000</v>
      </c>
      <c r="B284" s="58"/>
      <c r="C284" s="59" t="s">
        <v>245</v>
      </c>
      <c r="D284" s="48">
        <f>D291+D285+D288</f>
        <v>2712.6</v>
      </c>
      <c r="E284" s="48">
        <f>E291+E285+E288</f>
        <v>2548.7000000000003</v>
      </c>
    </row>
    <row r="285" spans="1:5" ht="31.5">
      <c r="A285" s="81">
        <v>1320110430</v>
      </c>
      <c r="B285" s="81"/>
      <c r="C285" s="82" t="s">
        <v>344</v>
      </c>
      <c r="D285" s="48">
        <f>D286</f>
        <v>1162</v>
      </c>
      <c r="E285" s="48">
        <f>E286</f>
        <v>998.1</v>
      </c>
    </row>
    <row r="286" spans="1:5" ht="31.5">
      <c r="A286" s="81">
        <v>1320110430</v>
      </c>
      <c r="B286" s="83" t="s">
        <v>75</v>
      </c>
      <c r="C286" s="82" t="s">
        <v>107</v>
      </c>
      <c r="D286" s="48">
        <f>D287</f>
        <v>1162</v>
      </c>
      <c r="E286" s="48">
        <f>E287</f>
        <v>998.1</v>
      </c>
    </row>
    <row r="287" spans="1:5" ht="31.15" customHeight="1">
      <c r="A287" s="81">
        <v>1320110430</v>
      </c>
      <c r="B287" s="81">
        <v>240</v>
      </c>
      <c r="C287" s="30" t="s">
        <v>441</v>
      </c>
      <c r="D287" s="48">
        <f>№7!E324</f>
        <v>1162</v>
      </c>
      <c r="E287" s="48">
        <f>№7!F324</f>
        <v>998.1</v>
      </c>
    </row>
    <row r="288" spans="1:5">
      <c r="A288" s="91">
        <v>1320120100</v>
      </c>
      <c r="B288" s="91"/>
      <c r="C288" s="92" t="s">
        <v>356</v>
      </c>
      <c r="D288" s="48">
        <f>D289</f>
        <v>53.400000000000006</v>
      </c>
      <c r="E288" s="48">
        <f>E289</f>
        <v>53.4</v>
      </c>
    </row>
    <row r="289" spans="1:5" ht="31.5">
      <c r="A289" s="91">
        <v>1320120100</v>
      </c>
      <c r="B289" s="93" t="s">
        <v>75</v>
      </c>
      <c r="C289" s="92" t="s">
        <v>107</v>
      </c>
      <c r="D289" s="48">
        <f>D290</f>
        <v>53.400000000000006</v>
      </c>
      <c r="E289" s="48">
        <f>E290</f>
        <v>53.4</v>
      </c>
    </row>
    <row r="290" spans="1:5" ht="33.6" customHeight="1">
      <c r="A290" s="91">
        <v>1320120100</v>
      </c>
      <c r="B290" s="91">
        <v>240</v>
      </c>
      <c r="C290" s="30" t="s">
        <v>441</v>
      </c>
      <c r="D290" s="48">
        <f>№7!E327</f>
        <v>53.400000000000006</v>
      </c>
      <c r="E290" s="48">
        <f>№7!F327</f>
        <v>53.4</v>
      </c>
    </row>
    <row r="291" spans="1:5" ht="31.5">
      <c r="A291" s="58" t="s">
        <v>155</v>
      </c>
      <c r="B291" s="58"/>
      <c r="C291" s="63" t="s">
        <v>311</v>
      </c>
      <c r="D291" s="48">
        <f>D292</f>
        <v>1497.2</v>
      </c>
      <c r="E291" s="48">
        <f>E292</f>
        <v>1497.2</v>
      </c>
    </row>
    <row r="292" spans="1:5" ht="31.5">
      <c r="A292" s="58" t="s">
        <v>155</v>
      </c>
      <c r="B292" s="60" t="s">
        <v>75</v>
      </c>
      <c r="C292" s="59" t="s">
        <v>107</v>
      </c>
      <c r="D292" s="48">
        <f>D293</f>
        <v>1497.2</v>
      </c>
      <c r="E292" s="48">
        <f>E293</f>
        <v>1497.2</v>
      </c>
    </row>
    <row r="293" spans="1:5" ht="33.6" customHeight="1">
      <c r="A293" s="58" t="s">
        <v>155</v>
      </c>
      <c r="B293" s="58">
        <v>240</v>
      </c>
      <c r="C293" s="30" t="s">
        <v>441</v>
      </c>
      <c r="D293" s="48">
        <f>№7!E330</f>
        <v>1497.2</v>
      </c>
      <c r="E293" s="48">
        <f>№7!F330</f>
        <v>1497.2</v>
      </c>
    </row>
    <row r="294" spans="1:5" ht="18" customHeight="1">
      <c r="A294" s="60">
        <v>1320200000</v>
      </c>
      <c r="B294" s="58"/>
      <c r="C294" s="59" t="s">
        <v>156</v>
      </c>
      <c r="D294" s="48">
        <f>D295+D298+D301+D304+D307</f>
        <v>15899.599999999999</v>
      </c>
      <c r="E294" s="48">
        <f>E295+E298+E301+E304+E307</f>
        <v>15749.099999999999</v>
      </c>
    </row>
    <row r="295" spans="1:5">
      <c r="A295" s="58">
        <v>1320220050</v>
      </c>
      <c r="B295" s="58"/>
      <c r="C295" s="59" t="s">
        <v>157</v>
      </c>
      <c r="D295" s="48">
        <f>D296</f>
        <v>13404</v>
      </c>
      <c r="E295" s="48">
        <f>E296</f>
        <v>13404</v>
      </c>
    </row>
    <row r="296" spans="1:5" ht="31.5">
      <c r="A296" s="58">
        <v>1320220050</v>
      </c>
      <c r="B296" s="60" t="s">
        <v>75</v>
      </c>
      <c r="C296" s="59" t="s">
        <v>107</v>
      </c>
      <c r="D296" s="48">
        <f>D297</f>
        <v>13404</v>
      </c>
      <c r="E296" s="48">
        <f>E297</f>
        <v>13404</v>
      </c>
    </row>
    <row r="297" spans="1:5" ht="34.9" customHeight="1">
      <c r="A297" s="58">
        <v>1320220050</v>
      </c>
      <c r="B297" s="58">
        <v>240</v>
      </c>
      <c r="C297" s="30" t="s">
        <v>441</v>
      </c>
      <c r="D297" s="48">
        <f>№7!E334</f>
        <v>13404</v>
      </c>
      <c r="E297" s="48">
        <f>№7!F334</f>
        <v>13404</v>
      </c>
    </row>
    <row r="298" spans="1:5">
      <c r="A298" s="58">
        <v>1320220060</v>
      </c>
      <c r="B298" s="58"/>
      <c r="C298" s="59" t="s">
        <v>158</v>
      </c>
      <c r="D298" s="48">
        <f>D299</f>
        <v>193</v>
      </c>
      <c r="E298" s="48">
        <f>E299</f>
        <v>43.3</v>
      </c>
    </row>
    <row r="299" spans="1:5" ht="31.5">
      <c r="A299" s="58">
        <v>1320220060</v>
      </c>
      <c r="B299" s="60" t="s">
        <v>75</v>
      </c>
      <c r="C299" s="59" t="s">
        <v>107</v>
      </c>
      <c r="D299" s="48">
        <f>D300</f>
        <v>193</v>
      </c>
      <c r="E299" s="48">
        <f>E300</f>
        <v>43.3</v>
      </c>
    </row>
    <row r="300" spans="1:5" ht="33.6" customHeight="1">
      <c r="A300" s="58">
        <v>1320220060</v>
      </c>
      <c r="B300" s="58">
        <v>240</v>
      </c>
      <c r="C300" s="30" t="s">
        <v>441</v>
      </c>
      <c r="D300" s="48">
        <f>№7!E337</f>
        <v>193</v>
      </c>
      <c r="E300" s="48">
        <f>№7!F337</f>
        <v>43.3</v>
      </c>
    </row>
    <row r="301" spans="1:5">
      <c r="A301" s="58">
        <v>1320220070</v>
      </c>
      <c r="B301" s="58"/>
      <c r="C301" s="59" t="s">
        <v>159</v>
      </c>
      <c r="D301" s="48">
        <f>D302</f>
        <v>2113.9</v>
      </c>
      <c r="E301" s="48">
        <f>E302</f>
        <v>2113.9</v>
      </c>
    </row>
    <row r="302" spans="1:5" ht="31.5">
      <c r="A302" s="58">
        <v>1320220070</v>
      </c>
      <c r="B302" s="60" t="s">
        <v>75</v>
      </c>
      <c r="C302" s="59" t="s">
        <v>107</v>
      </c>
      <c r="D302" s="48">
        <f>D303</f>
        <v>2113.9</v>
      </c>
      <c r="E302" s="48">
        <f>E303</f>
        <v>2113.9</v>
      </c>
    </row>
    <row r="303" spans="1:5" ht="30" customHeight="1">
      <c r="A303" s="58">
        <v>1320220070</v>
      </c>
      <c r="B303" s="58">
        <v>240</v>
      </c>
      <c r="C303" s="30" t="s">
        <v>441</v>
      </c>
      <c r="D303" s="48">
        <f>№7!E340</f>
        <v>2113.9</v>
      </c>
      <c r="E303" s="48">
        <f>№7!F340</f>
        <v>2113.9</v>
      </c>
    </row>
    <row r="304" spans="1:5">
      <c r="A304" s="58">
        <v>1320220080</v>
      </c>
      <c r="B304" s="58"/>
      <c r="C304" s="59" t="s">
        <v>160</v>
      </c>
      <c r="D304" s="48">
        <f>D305</f>
        <v>145.9</v>
      </c>
      <c r="E304" s="48">
        <f>E305</f>
        <v>145.9</v>
      </c>
    </row>
    <row r="305" spans="1:5" ht="31.5">
      <c r="A305" s="58">
        <v>1320220080</v>
      </c>
      <c r="B305" s="60" t="s">
        <v>75</v>
      </c>
      <c r="C305" s="59" t="s">
        <v>107</v>
      </c>
      <c r="D305" s="48">
        <f>D306</f>
        <v>145.9</v>
      </c>
      <c r="E305" s="48">
        <f>E306</f>
        <v>145.9</v>
      </c>
    </row>
    <row r="306" spans="1:5" ht="34.9" customHeight="1">
      <c r="A306" s="58">
        <v>1320220080</v>
      </c>
      <c r="B306" s="58">
        <v>240</v>
      </c>
      <c r="C306" s="30" t="s">
        <v>441</v>
      </c>
      <c r="D306" s="48">
        <f>№7!E343</f>
        <v>145.9</v>
      </c>
      <c r="E306" s="48">
        <f>№7!F343</f>
        <v>145.9</v>
      </c>
    </row>
    <row r="307" spans="1:5" ht="34.9" customHeight="1">
      <c r="A307" s="146">
        <v>1320220090</v>
      </c>
      <c r="B307" s="152"/>
      <c r="C307" s="153" t="s">
        <v>421</v>
      </c>
      <c r="D307" s="48">
        <f>D308</f>
        <v>42.8</v>
      </c>
      <c r="E307" s="48">
        <f>E308</f>
        <v>42</v>
      </c>
    </row>
    <row r="308" spans="1:5" ht="31.5" customHeight="1">
      <c r="A308" s="146">
        <v>1320220090</v>
      </c>
      <c r="B308" s="148" t="s">
        <v>75</v>
      </c>
      <c r="C308" s="147" t="s">
        <v>107</v>
      </c>
      <c r="D308" s="48">
        <f>D309</f>
        <v>42.8</v>
      </c>
      <c r="E308" s="48">
        <f>E309</f>
        <v>42</v>
      </c>
    </row>
    <row r="309" spans="1:5" ht="34.9" customHeight="1">
      <c r="A309" s="146">
        <v>1320220090</v>
      </c>
      <c r="B309" s="146">
        <v>240</v>
      </c>
      <c r="C309" s="30" t="s">
        <v>441</v>
      </c>
      <c r="D309" s="48">
        <f>№7!E346</f>
        <v>42.8</v>
      </c>
      <c r="E309" s="48">
        <f>№7!F346</f>
        <v>42</v>
      </c>
    </row>
    <row r="310" spans="1:5" ht="16.5" customHeight="1">
      <c r="A310" s="60">
        <v>1330000000</v>
      </c>
      <c r="B310" s="58"/>
      <c r="C310" s="59" t="s">
        <v>145</v>
      </c>
      <c r="D310" s="48">
        <f>D315+D311</f>
        <v>669.8</v>
      </c>
      <c r="E310" s="48">
        <f>E315+E311</f>
        <v>669.8</v>
      </c>
    </row>
    <row r="311" spans="1:5" ht="31.5">
      <c r="A311" s="60">
        <v>1330100000</v>
      </c>
      <c r="B311" s="58"/>
      <c r="C311" s="30" t="s">
        <v>238</v>
      </c>
      <c r="D311" s="48">
        <f t="shared" ref="D311:E313" si="10">D312</f>
        <v>404</v>
      </c>
      <c r="E311" s="48">
        <f t="shared" si="10"/>
        <v>404</v>
      </c>
    </row>
    <row r="312" spans="1:5" ht="78.75">
      <c r="A312" s="60">
        <v>1330110550</v>
      </c>
      <c r="B312" s="58"/>
      <c r="C312" s="59" t="s">
        <v>312</v>
      </c>
      <c r="D312" s="48">
        <f t="shared" si="10"/>
        <v>404</v>
      </c>
      <c r="E312" s="48">
        <f t="shared" si="10"/>
        <v>404</v>
      </c>
    </row>
    <row r="313" spans="1:5" ht="31.5">
      <c r="A313" s="60">
        <v>1330110550</v>
      </c>
      <c r="B313" s="60" t="s">
        <v>75</v>
      </c>
      <c r="C313" s="59" t="s">
        <v>107</v>
      </c>
      <c r="D313" s="48">
        <f t="shared" si="10"/>
        <v>404</v>
      </c>
      <c r="E313" s="48">
        <f t="shared" si="10"/>
        <v>404</v>
      </c>
    </row>
    <row r="314" spans="1:5" ht="32.450000000000003" customHeight="1">
      <c r="A314" s="60">
        <v>1330110550</v>
      </c>
      <c r="B314" s="58">
        <v>240</v>
      </c>
      <c r="C314" s="30" t="s">
        <v>441</v>
      </c>
      <c r="D314" s="48">
        <f>№7!E231</f>
        <v>404</v>
      </c>
      <c r="E314" s="48">
        <f>№7!F231</f>
        <v>404</v>
      </c>
    </row>
    <row r="315" spans="1:5" ht="47.25">
      <c r="A315" s="60">
        <v>1330200000</v>
      </c>
      <c r="B315" s="58"/>
      <c r="C315" s="59" t="s">
        <v>288</v>
      </c>
      <c r="D315" s="48">
        <f t="shared" ref="D315:E317" si="11">D316</f>
        <v>265.8</v>
      </c>
      <c r="E315" s="48">
        <f t="shared" si="11"/>
        <v>265.8</v>
      </c>
    </row>
    <row r="316" spans="1:5">
      <c r="A316" s="60">
        <v>1330220090</v>
      </c>
      <c r="B316" s="58"/>
      <c r="C316" s="59" t="s">
        <v>161</v>
      </c>
      <c r="D316" s="48">
        <f t="shared" si="11"/>
        <v>265.8</v>
      </c>
      <c r="E316" s="48">
        <f t="shared" si="11"/>
        <v>265.8</v>
      </c>
    </row>
    <row r="317" spans="1:5" ht="31.5">
      <c r="A317" s="60">
        <v>1330220090</v>
      </c>
      <c r="B317" s="60" t="s">
        <v>75</v>
      </c>
      <c r="C317" s="59" t="s">
        <v>107</v>
      </c>
      <c r="D317" s="48">
        <f t="shared" si="11"/>
        <v>265.8</v>
      </c>
      <c r="E317" s="48">
        <f t="shared" si="11"/>
        <v>265.8</v>
      </c>
    </row>
    <row r="318" spans="1:5" ht="31.15" customHeight="1">
      <c r="A318" s="60">
        <v>1330220090</v>
      </c>
      <c r="B318" s="58">
        <v>240</v>
      </c>
      <c r="C318" s="30" t="s">
        <v>441</v>
      </c>
      <c r="D318" s="48">
        <f>№7!E351</f>
        <v>265.8</v>
      </c>
      <c r="E318" s="48">
        <f>№7!F351</f>
        <v>265.8</v>
      </c>
    </row>
    <row r="319" spans="1:5" ht="47.25">
      <c r="A319" s="39">
        <v>1400000000</v>
      </c>
      <c r="B319" s="58"/>
      <c r="C319" s="32" t="s">
        <v>239</v>
      </c>
      <c r="D319" s="47">
        <f>D320+D335+D340</f>
        <v>128405.9</v>
      </c>
      <c r="E319" s="47">
        <f t="shared" ref="E319" si="12">E320+E335+E340</f>
        <v>113438.3</v>
      </c>
    </row>
    <row r="320" spans="1:5">
      <c r="A320" s="60">
        <v>1410000000</v>
      </c>
      <c r="B320" s="58"/>
      <c r="C320" s="59" t="s">
        <v>146</v>
      </c>
      <c r="D320" s="48">
        <f>D321+D325</f>
        <v>118777.09999999999</v>
      </c>
      <c r="E320" s="48">
        <f>E321+E325</f>
        <v>104313.3</v>
      </c>
    </row>
    <row r="321" spans="1:5">
      <c r="A321" s="60">
        <v>1410100000</v>
      </c>
      <c r="B321" s="30"/>
      <c r="C321" s="59" t="s">
        <v>240</v>
      </c>
      <c r="D321" s="48">
        <f t="shared" ref="D321:E323" si="13">D322</f>
        <v>23841.7</v>
      </c>
      <c r="E321" s="48">
        <f t="shared" si="13"/>
        <v>23541.7</v>
      </c>
    </row>
    <row r="322" spans="1:5" ht="31.5">
      <c r="A322" s="58">
        <v>1410120100</v>
      </c>
      <c r="B322" s="58"/>
      <c r="C322" s="59" t="s">
        <v>147</v>
      </c>
      <c r="D322" s="48">
        <f t="shared" si="13"/>
        <v>23841.7</v>
      </c>
      <c r="E322" s="48">
        <f t="shared" si="13"/>
        <v>23541.7</v>
      </c>
    </row>
    <row r="323" spans="1:5" ht="31.5">
      <c r="A323" s="58">
        <v>1410120100</v>
      </c>
      <c r="B323" s="60" t="s">
        <v>75</v>
      </c>
      <c r="C323" s="59" t="s">
        <v>107</v>
      </c>
      <c r="D323" s="48">
        <f t="shared" si="13"/>
        <v>23841.7</v>
      </c>
      <c r="E323" s="48">
        <f t="shared" si="13"/>
        <v>23541.7</v>
      </c>
    </row>
    <row r="324" spans="1:5" ht="29.45" customHeight="1">
      <c r="A324" s="58">
        <v>1410120100</v>
      </c>
      <c r="B324" s="58">
        <v>240</v>
      </c>
      <c r="C324" s="30" t="s">
        <v>441</v>
      </c>
      <c r="D324" s="48">
        <f>№7!E238</f>
        <v>23841.7</v>
      </c>
      <c r="E324" s="48">
        <f>№7!F238</f>
        <v>23541.7</v>
      </c>
    </row>
    <row r="325" spans="1:5" ht="47.25">
      <c r="A325" s="60">
        <v>1410200000</v>
      </c>
      <c r="B325" s="58"/>
      <c r="C325" s="59" t="s">
        <v>241</v>
      </c>
      <c r="D325" s="48">
        <f>D329+D332+D326</f>
        <v>94935.4</v>
      </c>
      <c r="E325" s="48">
        <f>E329+E332+E326</f>
        <v>80771.600000000006</v>
      </c>
    </row>
    <row r="326" spans="1:5" ht="31.5">
      <c r="A326" s="81">
        <v>1410211050</v>
      </c>
      <c r="B326" s="81"/>
      <c r="C326" s="82" t="s">
        <v>347</v>
      </c>
      <c r="D326" s="48">
        <f>D327</f>
        <v>77453.7</v>
      </c>
      <c r="E326" s="48">
        <f>E327</f>
        <v>63453.7</v>
      </c>
    </row>
    <row r="327" spans="1:5" ht="31.5">
      <c r="A327" s="81">
        <v>1410211050</v>
      </c>
      <c r="B327" s="83" t="s">
        <v>75</v>
      </c>
      <c r="C327" s="82" t="s">
        <v>107</v>
      </c>
      <c r="D327" s="48">
        <f>D328</f>
        <v>77453.7</v>
      </c>
      <c r="E327" s="48">
        <f>E328</f>
        <v>63453.7</v>
      </c>
    </row>
    <row r="328" spans="1:5" ht="36.6" customHeight="1">
      <c r="A328" s="81">
        <v>1410211050</v>
      </c>
      <c r="B328" s="81">
        <v>240</v>
      </c>
      <c r="C328" s="30" t="s">
        <v>441</v>
      </c>
      <c r="D328" s="48">
        <f>№7!E242</f>
        <v>77453.7</v>
      </c>
      <c r="E328" s="48">
        <f>№7!F242</f>
        <v>63453.7</v>
      </c>
    </row>
    <row r="329" spans="1:5" ht="20.45" customHeight="1">
      <c r="A329" s="58">
        <v>1410220110</v>
      </c>
      <c r="B329" s="58"/>
      <c r="C329" s="59" t="s">
        <v>148</v>
      </c>
      <c r="D329" s="48">
        <f>D330</f>
        <v>1564.4</v>
      </c>
      <c r="E329" s="48">
        <f>E330</f>
        <v>1454.5</v>
      </c>
    </row>
    <row r="330" spans="1:5" ht="31.5">
      <c r="A330" s="58">
        <v>1410220110</v>
      </c>
      <c r="B330" s="60" t="s">
        <v>75</v>
      </c>
      <c r="C330" s="59" t="s">
        <v>107</v>
      </c>
      <c r="D330" s="48">
        <f>D331</f>
        <v>1564.4</v>
      </c>
      <c r="E330" s="48">
        <f>E331</f>
        <v>1454.5</v>
      </c>
    </row>
    <row r="331" spans="1:5" ht="31.9" customHeight="1">
      <c r="A331" s="58">
        <v>1410220110</v>
      </c>
      <c r="B331" s="58">
        <v>240</v>
      </c>
      <c r="C331" s="30" t="s">
        <v>441</v>
      </c>
      <c r="D331" s="48">
        <f>№7!E245</f>
        <v>1564.4</v>
      </c>
      <c r="E331" s="48">
        <f>№7!F245</f>
        <v>1454.5</v>
      </c>
    </row>
    <row r="332" spans="1:5" ht="31.5">
      <c r="A332" s="81" t="s">
        <v>346</v>
      </c>
      <c r="B332" s="81"/>
      <c r="C332" s="82" t="s">
        <v>345</v>
      </c>
      <c r="D332" s="48">
        <f>D333</f>
        <v>15917.299999999997</v>
      </c>
      <c r="E332" s="48">
        <f>E333</f>
        <v>15863.4</v>
      </c>
    </row>
    <row r="333" spans="1:5" ht="31.5">
      <c r="A333" s="81" t="s">
        <v>346</v>
      </c>
      <c r="B333" s="68" t="s">
        <v>75</v>
      </c>
      <c r="C333" s="67" t="s">
        <v>107</v>
      </c>
      <c r="D333" s="48">
        <f>D334</f>
        <v>15917.299999999997</v>
      </c>
      <c r="E333" s="48">
        <f>E334</f>
        <v>15863.4</v>
      </c>
    </row>
    <row r="334" spans="1:5" ht="31.5">
      <c r="A334" s="81" t="s">
        <v>346</v>
      </c>
      <c r="B334" s="66">
        <v>240</v>
      </c>
      <c r="C334" s="158" t="s">
        <v>441</v>
      </c>
      <c r="D334" s="48">
        <f>№7!E248</f>
        <v>15917.299999999997</v>
      </c>
      <c r="E334" s="48">
        <f>№7!F248</f>
        <v>15863.4</v>
      </c>
    </row>
    <row r="335" spans="1:5">
      <c r="A335" s="60">
        <v>1420000000</v>
      </c>
      <c r="B335" s="58"/>
      <c r="C335" s="59" t="s">
        <v>149</v>
      </c>
      <c r="D335" s="48">
        <f t="shared" ref="D335:E338" si="14">D336</f>
        <v>3500</v>
      </c>
      <c r="E335" s="48">
        <f t="shared" si="14"/>
        <v>3500</v>
      </c>
    </row>
    <row r="336" spans="1:5" ht="31.5">
      <c r="A336" s="60">
        <v>1420100000</v>
      </c>
      <c r="B336" s="58"/>
      <c r="C336" s="59" t="s">
        <v>242</v>
      </c>
      <c r="D336" s="48">
        <f t="shared" si="14"/>
        <v>3500</v>
      </c>
      <c r="E336" s="48">
        <f t="shared" si="14"/>
        <v>3500</v>
      </c>
    </row>
    <row r="337" spans="1:5">
      <c r="A337" s="58">
        <v>1420120120</v>
      </c>
      <c r="B337" s="58"/>
      <c r="C337" s="59" t="s">
        <v>150</v>
      </c>
      <c r="D337" s="48">
        <f t="shared" si="14"/>
        <v>3500</v>
      </c>
      <c r="E337" s="48">
        <f t="shared" si="14"/>
        <v>3500</v>
      </c>
    </row>
    <row r="338" spans="1:5" ht="31.5">
      <c r="A338" s="58">
        <v>1420120120</v>
      </c>
      <c r="B338" s="60" t="s">
        <v>75</v>
      </c>
      <c r="C338" s="59" t="s">
        <v>107</v>
      </c>
      <c r="D338" s="48">
        <f t="shared" si="14"/>
        <v>3500</v>
      </c>
      <c r="E338" s="48">
        <f t="shared" si="14"/>
        <v>3500</v>
      </c>
    </row>
    <row r="339" spans="1:5" ht="33.6" customHeight="1">
      <c r="A339" s="58">
        <v>1420120120</v>
      </c>
      <c r="B339" s="58">
        <v>240</v>
      </c>
      <c r="C339" s="30" t="s">
        <v>441</v>
      </c>
      <c r="D339" s="48">
        <f>№7!E253</f>
        <v>3500</v>
      </c>
      <c r="E339" s="48">
        <f>№7!F253</f>
        <v>3500</v>
      </c>
    </row>
    <row r="340" spans="1:5" ht="15" customHeight="1">
      <c r="A340" s="68">
        <v>1430000000</v>
      </c>
      <c r="B340" s="66"/>
      <c r="C340" s="9" t="s">
        <v>329</v>
      </c>
      <c r="D340" s="48">
        <f>D341</f>
        <v>6128.8000000000011</v>
      </c>
      <c r="E340" s="48">
        <f>E341</f>
        <v>5625</v>
      </c>
    </row>
    <row r="341" spans="1:5" ht="33.6" customHeight="1">
      <c r="A341" s="66">
        <v>1430300000</v>
      </c>
      <c r="B341" s="66"/>
      <c r="C341" s="9" t="s">
        <v>330</v>
      </c>
      <c r="D341" s="48">
        <f>D348+D342+D345</f>
        <v>6128.8000000000011</v>
      </c>
      <c r="E341" s="48">
        <f>E348+E342+E345</f>
        <v>5625</v>
      </c>
    </row>
    <row r="342" spans="1:5" ht="33.6" customHeight="1">
      <c r="A342" s="105">
        <v>1430310100</v>
      </c>
      <c r="B342" s="105"/>
      <c r="C342" s="72" t="s">
        <v>369</v>
      </c>
      <c r="D342" s="48">
        <f>D343</f>
        <v>4898.6000000000004</v>
      </c>
      <c r="E342" s="48">
        <f>E343</f>
        <v>4495.5</v>
      </c>
    </row>
    <row r="343" spans="1:5" ht="33.6" customHeight="1">
      <c r="A343" s="105">
        <v>1430310100</v>
      </c>
      <c r="B343" s="107" t="s">
        <v>78</v>
      </c>
      <c r="C343" s="106" t="s">
        <v>108</v>
      </c>
      <c r="D343" s="48">
        <f>D344</f>
        <v>4898.6000000000004</v>
      </c>
      <c r="E343" s="48">
        <f>E344</f>
        <v>4495.5</v>
      </c>
    </row>
    <row r="344" spans="1:5" ht="20.45" customHeight="1">
      <c r="A344" s="105">
        <v>1430310100</v>
      </c>
      <c r="B344" s="107" t="s">
        <v>140</v>
      </c>
      <c r="C344" s="106" t="s">
        <v>141</v>
      </c>
      <c r="D344" s="48">
        <f>№7!E293</f>
        <v>4898.6000000000004</v>
      </c>
      <c r="E344" s="48">
        <f>№7!F293</f>
        <v>4495.5</v>
      </c>
    </row>
    <row r="345" spans="1:5">
      <c r="A345" s="182">
        <v>1430320100</v>
      </c>
      <c r="B345" s="182"/>
      <c r="C345" s="190" t="s">
        <v>447</v>
      </c>
      <c r="D345" s="48">
        <f>D346</f>
        <v>5.6</v>
      </c>
      <c r="E345" s="48">
        <f>E346</f>
        <v>5.6</v>
      </c>
    </row>
    <row r="346" spans="1:5" ht="31.5">
      <c r="A346" s="182">
        <v>1430320100</v>
      </c>
      <c r="B346" s="184" t="s">
        <v>78</v>
      </c>
      <c r="C346" s="183" t="s">
        <v>108</v>
      </c>
      <c r="D346" s="48">
        <f>D347</f>
        <v>5.6</v>
      </c>
      <c r="E346" s="48">
        <f>E347</f>
        <v>5.6</v>
      </c>
    </row>
    <row r="347" spans="1:5">
      <c r="A347" s="182">
        <v>1430320100</v>
      </c>
      <c r="B347" s="184" t="s">
        <v>140</v>
      </c>
      <c r="C347" s="183" t="s">
        <v>141</v>
      </c>
      <c r="D347" s="48">
        <f>№7!E296</f>
        <v>5.6</v>
      </c>
      <c r="E347" s="48">
        <f>№7!F296</f>
        <v>5.6</v>
      </c>
    </row>
    <row r="348" spans="1:5" ht="19.899999999999999" customHeight="1">
      <c r="A348" s="66" t="s">
        <v>331</v>
      </c>
      <c r="B348" s="66"/>
      <c r="C348" s="72" t="s">
        <v>335</v>
      </c>
      <c r="D348" s="48">
        <f>D349</f>
        <v>1224.6000000000001</v>
      </c>
      <c r="E348" s="48">
        <f>E349</f>
        <v>1123.9000000000001</v>
      </c>
    </row>
    <row r="349" spans="1:5" ht="33.6" customHeight="1">
      <c r="A349" s="66" t="s">
        <v>331</v>
      </c>
      <c r="B349" s="80" t="s">
        <v>78</v>
      </c>
      <c r="C349" s="79" t="s">
        <v>108</v>
      </c>
      <c r="D349" s="48">
        <f>D350</f>
        <v>1224.6000000000001</v>
      </c>
      <c r="E349" s="48">
        <f>E350</f>
        <v>1123.9000000000001</v>
      </c>
    </row>
    <row r="350" spans="1:5" ht="14.25" customHeight="1">
      <c r="A350" s="66" t="s">
        <v>331</v>
      </c>
      <c r="B350" s="80" t="s">
        <v>140</v>
      </c>
      <c r="C350" s="79" t="s">
        <v>141</v>
      </c>
      <c r="D350" s="48">
        <f>№7!E299</f>
        <v>1224.6000000000001</v>
      </c>
      <c r="E350" s="48">
        <f>№7!F299</f>
        <v>1123.9000000000001</v>
      </c>
    </row>
    <row r="351" spans="1:5" ht="31.5">
      <c r="A351" s="39">
        <v>1500000000</v>
      </c>
      <c r="B351" s="19"/>
      <c r="C351" s="32" t="s">
        <v>232</v>
      </c>
      <c r="D351" s="47">
        <f>D352+D367</f>
        <v>7989.4</v>
      </c>
      <c r="E351" s="47">
        <f t="shared" ref="E351" si="15">E352+E367</f>
        <v>7989.2999999999993</v>
      </c>
    </row>
    <row r="352" spans="1:5">
      <c r="A352" s="58">
        <v>1510000000</v>
      </c>
      <c r="B352" s="58"/>
      <c r="C352" s="59" t="s">
        <v>196</v>
      </c>
      <c r="D352" s="48">
        <f>D353+D363</f>
        <v>6732.2</v>
      </c>
      <c r="E352" s="48">
        <f>E353+E363</f>
        <v>6732.2</v>
      </c>
    </row>
    <row r="353" spans="1:5" ht="47.25">
      <c r="A353" s="58">
        <v>1510100000</v>
      </c>
      <c r="B353" s="58"/>
      <c r="C353" s="59" t="s">
        <v>235</v>
      </c>
      <c r="D353" s="48">
        <f>D357+D354+D360</f>
        <v>6708.8</v>
      </c>
      <c r="E353" s="48">
        <f>E357+E354+E360</f>
        <v>6708.8</v>
      </c>
    </row>
    <row r="354" spans="1:5" ht="47.25">
      <c r="A354" s="81">
        <v>1510110200</v>
      </c>
      <c r="B354" s="81"/>
      <c r="C354" s="9" t="s">
        <v>349</v>
      </c>
      <c r="D354" s="48">
        <f>D355</f>
        <v>41.3</v>
      </c>
      <c r="E354" s="48">
        <f>E355</f>
        <v>41.3</v>
      </c>
    </row>
    <row r="355" spans="1:5" ht="31.5">
      <c r="A355" s="81">
        <v>1510110200</v>
      </c>
      <c r="B355" s="81">
        <v>600</v>
      </c>
      <c r="C355" s="82" t="s">
        <v>90</v>
      </c>
      <c r="D355" s="48">
        <f>D356</f>
        <v>41.3</v>
      </c>
      <c r="E355" s="48">
        <f>E356</f>
        <v>41.3</v>
      </c>
    </row>
    <row r="356" spans="1:5">
      <c r="A356" s="81">
        <v>1510110200</v>
      </c>
      <c r="B356" s="81">
        <v>610</v>
      </c>
      <c r="C356" s="82" t="s">
        <v>123</v>
      </c>
      <c r="D356" s="48">
        <f>№7!E210</f>
        <v>41.3</v>
      </c>
      <c r="E356" s="48">
        <f>№7!F210</f>
        <v>41.3</v>
      </c>
    </row>
    <row r="357" spans="1:5" ht="31.5">
      <c r="A357" s="58">
        <v>1510120010</v>
      </c>
      <c r="B357" s="58"/>
      <c r="C357" s="59" t="s">
        <v>144</v>
      </c>
      <c r="D357" s="48">
        <f>D358</f>
        <v>6663.4</v>
      </c>
      <c r="E357" s="48">
        <f>E358</f>
        <v>6663.4</v>
      </c>
    </row>
    <row r="358" spans="1:5" ht="31.5">
      <c r="A358" s="58">
        <v>1510120010</v>
      </c>
      <c r="B358" s="58">
        <v>600</v>
      </c>
      <c r="C358" s="59" t="s">
        <v>90</v>
      </c>
      <c r="D358" s="48">
        <f>D359</f>
        <v>6663.4</v>
      </c>
      <c r="E358" s="48">
        <f>E359</f>
        <v>6663.4</v>
      </c>
    </row>
    <row r="359" spans="1:5">
      <c r="A359" s="58">
        <v>1510120010</v>
      </c>
      <c r="B359" s="58">
        <v>610</v>
      </c>
      <c r="C359" s="59" t="s">
        <v>123</v>
      </c>
      <c r="D359" s="48">
        <f>№7!E213</f>
        <v>6663.4</v>
      </c>
      <c r="E359" s="48">
        <f>№7!F213</f>
        <v>6663.4</v>
      </c>
    </row>
    <row r="360" spans="1:5" ht="47.25">
      <c r="A360" s="84" t="s">
        <v>353</v>
      </c>
      <c r="B360" s="84"/>
      <c r="C360" s="9" t="s">
        <v>349</v>
      </c>
      <c r="D360" s="48">
        <f>D361</f>
        <v>4.0999999999999996</v>
      </c>
      <c r="E360" s="48">
        <f>E361</f>
        <v>4.0999999999999996</v>
      </c>
    </row>
    <row r="361" spans="1:5" ht="31.5">
      <c r="A361" s="84" t="s">
        <v>353</v>
      </c>
      <c r="B361" s="84">
        <v>600</v>
      </c>
      <c r="C361" s="85" t="s">
        <v>110</v>
      </c>
      <c r="D361" s="48">
        <f>D362</f>
        <v>4.0999999999999996</v>
      </c>
      <c r="E361" s="48">
        <f>E362</f>
        <v>4.0999999999999996</v>
      </c>
    </row>
    <row r="362" spans="1:5">
      <c r="A362" s="84" t="s">
        <v>353</v>
      </c>
      <c r="B362" s="84">
        <v>610</v>
      </c>
      <c r="C362" s="85" t="s">
        <v>123</v>
      </c>
      <c r="D362" s="48">
        <f>№7!E216</f>
        <v>4.0999999999999996</v>
      </c>
      <c r="E362" s="48">
        <f>№7!F216</f>
        <v>4.0999999999999996</v>
      </c>
    </row>
    <row r="363" spans="1:5" ht="47.25">
      <c r="A363" s="58">
        <v>1510200000</v>
      </c>
      <c r="B363" s="58"/>
      <c r="C363" s="59" t="s">
        <v>233</v>
      </c>
      <c r="D363" s="48">
        <f t="shared" ref="D363:E365" si="16">D364</f>
        <v>23.400000000000006</v>
      </c>
      <c r="E363" s="48">
        <f t="shared" si="16"/>
        <v>23.4</v>
      </c>
    </row>
    <row r="364" spans="1:5" ht="31.5">
      <c r="A364" s="58">
        <v>1510220170</v>
      </c>
      <c r="B364" s="58"/>
      <c r="C364" s="59" t="s">
        <v>234</v>
      </c>
      <c r="D364" s="48">
        <f t="shared" si="16"/>
        <v>23.400000000000006</v>
      </c>
      <c r="E364" s="48">
        <f t="shared" si="16"/>
        <v>23.4</v>
      </c>
    </row>
    <row r="365" spans="1:5">
      <c r="A365" s="58">
        <v>1510220170</v>
      </c>
      <c r="B365" s="60" t="s">
        <v>79</v>
      </c>
      <c r="C365" s="59" t="s">
        <v>80</v>
      </c>
      <c r="D365" s="48">
        <f t="shared" si="16"/>
        <v>23.400000000000006</v>
      </c>
      <c r="E365" s="48">
        <f t="shared" si="16"/>
        <v>23.4</v>
      </c>
    </row>
    <row r="366" spans="1:5">
      <c r="A366" s="58">
        <v>1510220170</v>
      </c>
      <c r="B366" s="1" t="s">
        <v>198</v>
      </c>
      <c r="C366" s="22" t="s">
        <v>197</v>
      </c>
      <c r="D366" s="48">
        <f>№6!F76</f>
        <v>23.400000000000006</v>
      </c>
      <c r="E366" s="48">
        <f>№6!G76</f>
        <v>23.4</v>
      </c>
    </row>
    <row r="367" spans="1:5">
      <c r="A367" s="60">
        <v>1520000000</v>
      </c>
      <c r="B367" s="58"/>
      <c r="C367" s="59" t="s">
        <v>224</v>
      </c>
      <c r="D367" s="48">
        <f>D368+D372</f>
        <v>1257.2</v>
      </c>
      <c r="E367" s="48">
        <f>E368+E372</f>
        <v>1257.0999999999999</v>
      </c>
    </row>
    <row r="368" spans="1:5" ht="63">
      <c r="A368" s="58">
        <v>1520100000</v>
      </c>
      <c r="B368" s="58"/>
      <c r="C368" s="59" t="s">
        <v>297</v>
      </c>
      <c r="D368" s="48">
        <f t="shared" ref="D368:E370" si="17">D369</f>
        <v>1191.4000000000001</v>
      </c>
      <c r="E368" s="48">
        <f t="shared" si="17"/>
        <v>1191.3</v>
      </c>
    </row>
    <row r="369" spans="1:5" ht="31.5">
      <c r="A369" s="11" t="s">
        <v>359</v>
      </c>
      <c r="B369" s="98"/>
      <c r="C369" s="104" t="s">
        <v>365</v>
      </c>
      <c r="D369" s="48">
        <f t="shared" si="17"/>
        <v>1191.4000000000001</v>
      </c>
      <c r="E369" s="48">
        <f t="shared" si="17"/>
        <v>1191.3</v>
      </c>
    </row>
    <row r="370" spans="1:5" ht="31.5">
      <c r="A370" s="11" t="s">
        <v>359</v>
      </c>
      <c r="B370" s="100" t="s">
        <v>109</v>
      </c>
      <c r="C370" s="99" t="s">
        <v>110</v>
      </c>
      <c r="D370" s="48">
        <f t="shared" si="17"/>
        <v>1191.4000000000001</v>
      </c>
      <c r="E370" s="48">
        <f t="shared" si="17"/>
        <v>1191.3</v>
      </c>
    </row>
    <row r="371" spans="1:5">
      <c r="A371" s="11" t="s">
        <v>359</v>
      </c>
      <c r="B371" s="98">
        <v>610</v>
      </c>
      <c r="C371" s="99" t="s">
        <v>123</v>
      </c>
      <c r="D371" s="48">
        <f>№7!E437+№7!E378+№7!E478</f>
        <v>1191.4000000000001</v>
      </c>
      <c r="E371" s="48">
        <f>№7!F437+№7!F378+№7!F478</f>
        <v>1191.3</v>
      </c>
    </row>
    <row r="372" spans="1:5" ht="47.25">
      <c r="A372" s="11" t="s">
        <v>362</v>
      </c>
      <c r="B372" s="98"/>
      <c r="C372" s="99" t="s">
        <v>364</v>
      </c>
      <c r="D372" s="48">
        <f t="shared" ref="D372:E374" si="18">D373</f>
        <v>65.8</v>
      </c>
      <c r="E372" s="48">
        <f t="shared" si="18"/>
        <v>65.8</v>
      </c>
    </row>
    <row r="373" spans="1:5">
      <c r="A373" s="11" t="s">
        <v>362</v>
      </c>
      <c r="B373" s="98"/>
      <c r="C373" s="99" t="s">
        <v>361</v>
      </c>
      <c r="D373" s="48">
        <f t="shared" si="18"/>
        <v>65.8</v>
      </c>
      <c r="E373" s="48">
        <f t="shared" si="18"/>
        <v>65.8</v>
      </c>
    </row>
    <row r="374" spans="1:5" ht="31.5">
      <c r="A374" s="11" t="s">
        <v>362</v>
      </c>
      <c r="B374" s="100" t="s">
        <v>109</v>
      </c>
      <c r="C374" s="99" t="s">
        <v>110</v>
      </c>
      <c r="D374" s="48">
        <f t="shared" si="18"/>
        <v>65.8</v>
      </c>
      <c r="E374" s="48">
        <f t="shared" si="18"/>
        <v>65.8</v>
      </c>
    </row>
    <row r="375" spans="1:5">
      <c r="A375" s="11" t="s">
        <v>362</v>
      </c>
      <c r="B375" s="98">
        <v>610</v>
      </c>
      <c r="C375" s="99" t="s">
        <v>123</v>
      </c>
      <c r="D375" s="48">
        <f>№7!E441</f>
        <v>65.8</v>
      </c>
      <c r="E375" s="48">
        <f>№7!F441</f>
        <v>65.8</v>
      </c>
    </row>
    <row r="376" spans="1:5" ht="47.25">
      <c r="A376" s="39">
        <v>1600000000</v>
      </c>
      <c r="B376" s="60"/>
      <c r="C376" s="32" t="s">
        <v>133</v>
      </c>
      <c r="D376" s="47">
        <f>D377+D390+D421+D435</f>
        <v>28989.200000000001</v>
      </c>
      <c r="E376" s="47">
        <f>E377+E390+E421+E435</f>
        <v>28911.000000000004</v>
      </c>
    </row>
    <row r="377" spans="1:5" ht="31.5">
      <c r="A377" s="60">
        <v>1610000000</v>
      </c>
      <c r="B377" s="58"/>
      <c r="C377" s="59" t="s">
        <v>273</v>
      </c>
      <c r="D377" s="48">
        <f>D378+D382+D386</f>
        <v>3442.7</v>
      </c>
      <c r="E377" s="48">
        <f>E378+E382+E386</f>
        <v>3442.7</v>
      </c>
    </row>
    <row r="378" spans="1:5" ht="47.25">
      <c r="A378" s="60">
        <v>1610100000</v>
      </c>
      <c r="B378" s="58"/>
      <c r="C378" s="59" t="s">
        <v>243</v>
      </c>
      <c r="D378" s="48">
        <f t="shared" ref="D378:E380" si="19">D379</f>
        <v>1917.7999999999997</v>
      </c>
      <c r="E378" s="48">
        <f t="shared" si="19"/>
        <v>1917.8</v>
      </c>
    </row>
    <row r="379" spans="1:5" ht="31.5">
      <c r="A379" s="60">
        <v>1610120010</v>
      </c>
      <c r="B379" s="58"/>
      <c r="C379" s="59" t="s">
        <v>144</v>
      </c>
      <c r="D379" s="48">
        <f t="shared" si="19"/>
        <v>1917.7999999999997</v>
      </c>
      <c r="E379" s="48">
        <f t="shared" si="19"/>
        <v>1917.8</v>
      </c>
    </row>
    <row r="380" spans="1:5" ht="31.5">
      <c r="A380" s="60">
        <v>1610120010</v>
      </c>
      <c r="B380" s="60" t="s">
        <v>109</v>
      </c>
      <c r="C380" s="59" t="s">
        <v>110</v>
      </c>
      <c r="D380" s="48">
        <f t="shared" si="19"/>
        <v>1917.7999999999997</v>
      </c>
      <c r="E380" s="48">
        <f t="shared" si="19"/>
        <v>1917.8</v>
      </c>
    </row>
    <row r="381" spans="1:5">
      <c r="A381" s="60">
        <v>1610120010</v>
      </c>
      <c r="B381" s="58">
        <v>610</v>
      </c>
      <c r="C381" s="59" t="s">
        <v>123</v>
      </c>
      <c r="D381" s="48">
        <f>№6!F203</f>
        <v>1917.7999999999997</v>
      </c>
      <c r="E381" s="48">
        <f>№6!G203</f>
        <v>1917.8</v>
      </c>
    </row>
    <row r="382" spans="1:5" ht="63">
      <c r="A382" s="60">
        <v>1610200000</v>
      </c>
      <c r="B382" s="58"/>
      <c r="C382" s="59" t="s">
        <v>284</v>
      </c>
      <c r="D382" s="48">
        <f t="shared" ref="D382:E384" si="20">D383</f>
        <v>264.3</v>
      </c>
      <c r="E382" s="48">
        <f t="shared" si="20"/>
        <v>264.3</v>
      </c>
    </row>
    <row r="383" spans="1:5" ht="31.5">
      <c r="A383" s="60">
        <v>1610220030</v>
      </c>
      <c r="B383" s="58"/>
      <c r="C383" s="59" t="s">
        <v>280</v>
      </c>
      <c r="D383" s="48">
        <f t="shared" si="20"/>
        <v>264.3</v>
      </c>
      <c r="E383" s="48">
        <f t="shared" si="20"/>
        <v>264.3</v>
      </c>
    </row>
    <row r="384" spans="1:5" ht="31.5">
      <c r="A384" s="60">
        <v>1610220030</v>
      </c>
      <c r="B384" s="60" t="s">
        <v>109</v>
      </c>
      <c r="C384" s="59" t="s">
        <v>110</v>
      </c>
      <c r="D384" s="48">
        <f t="shared" si="20"/>
        <v>264.3</v>
      </c>
      <c r="E384" s="48">
        <f t="shared" si="20"/>
        <v>264.3</v>
      </c>
    </row>
    <row r="385" spans="1:5">
      <c r="A385" s="60">
        <v>1610220030</v>
      </c>
      <c r="B385" s="58">
        <v>610</v>
      </c>
      <c r="C385" s="59" t="s">
        <v>123</v>
      </c>
      <c r="D385" s="48">
        <f>№6!F207</f>
        <v>264.3</v>
      </c>
      <c r="E385" s="48">
        <f>№6!G207</f>
        <v>264.3</v>
      </c>
    </row>
    <row r="386" spans="1:5" ht="31.5">
      <c r="A386" s="60">
        <v>1610300000</v>
      </c>
      <c r="B386" s="58"/>
      <c r="C386" s="59" t="s">
        <v>285</v>
      </c>
      <c r="D386" s="48">
        <f t="shared" ref="D386:E388" si="21">D387</f>
        <v>1260.6000000000001</v>
      </c>
      <c r="E386" s="48">
        <f t="shared" si="21"/>
        <v>1260.5999999999999</v>
      </c>
    </row>
    <row r="387" spans="1:5">
      <c r="A387" s="60">
        <v>1610320200</v>
      </c>
      <c r="B387" s="58"/>
      <c r="C387" s="59" t="s">
        <v>176</v>
      </c>
      <c r="D387" s="48">
        <f t="shared" si="21"/>
        <v>1260.6000000000001</v>
      </c>
      <c r="E387" s="48">
        <f t="shared" si="21"/>
        <v>1260.5999999999999</v>
      </c>
    </row>
    <row r="388" spans="1:5" ht="31.5">
      <c r="A388" s="60">
        <v>1610320200</v>
      </c>
      <c r="B388" s="60" t="s">
        <v>109</v>
      </c>
      <c r="C388" s="59" t="s">
        <v>110</v>
      </c>
      <c r="D388" s="48">
        <f t="shared" si="21"/>
        <v>1260.6000000000001</v>
      </c>
      <c r="E388" s="48">
        <f t="shared" si="21"/>
        <v>1260.5999999999999</v>
      </c>
    </row>
    <row r="389" spans="1:5">
      <c r="A389" s="60">
        <v>1610320200</v>
      </c>
      <c r="B389" s="58">
        <v>610</v>
      </c>
      <c r="C389" s="59" t="s">
        <v>123</v>
      </c>
      <c r="D389" s="48">
        <f>№6!F211</f>
        <v>1260.6000000000001</v>
      </c>
      <c r="E389" s="48">
        <f>№6!G211</f>
        <v>1260.5999999999999</v>
      </c>
    </row>
    <row r="390" spans="1:5" ht="31.5">
      <c r="A390" s="60">
        <v>1620000000</v>
      </c>
      <c r="B390" s="60"/>
      <c r="C390" s="59" t="s">
        <v>126</v>
      </c>
      <c r="D390" s="48">
        <f>D391+D404+D417</f>
        <v>23326.899999999998</v>
      </c>
      <c r="E390" s="48">
        <f>E391+E404+E417</f>
        <v>23284.400000000001</v>
      </c>
    </row>
    <row r="391" spans="1:5">
      <c r="A391" s="60">
        <v>1620100000</v>
      </c>
      <c r="B391" s="60"/>
      <c r="C391" s="59" t="s">
        <v>127</v>
      </c>
      <c r="D391" s="48">
        <f>D392+D395+D398+D401</f>
        <v>5680.5999999999995</v>
      </c>
      <c r="E391" s="48">
        <f>E392+E395+E398+E401</f>
        <v>5665</v>
      </c>
    </row>
    <row r="392" spans="1:5">
      <c r="A392" s="60">
        <v>1620120210</v>
      </c>
      <c r="B392" s="25"/>
      <c r="C392" s="59" t="s">
        <v>128</v>
      </c>
      <c r="D392" s="48">
        <f>D393</f>
        <v>3415.4999999999995</v>
      </c>
      <c r="E392" s="48">
        <f>E393</f>
        <v>3405.2</v>
      </c>
    </row>
    <row r="393" spans="1:5" ht="31.5">
      <c r="A393" s="60">
        <v>1620120210</v>
      </c>
      <c r="B393" s="60" t="s">
        <v>75</v>
      </c>
      <c r="C393" s="59" t="s">
        <v>107</v>
      </c>
      <c r="D393" s="48">
        <f>D394</f>
        <v>3415.4999999999995</v>
      </c>
      <c r="E393" s="48">
        <f>E394</f>
        <v>3405.2</v>
      </c>
    </row>
    <row r="394" spans="1:5" ht="31.15" customHeight="1">
      <c r="A394" s="60">
        <v>1620120210</v>
      </c>
      <c r="B394" s="58">
        <v>240</v>
      </c>
      <c r="C394" s="59" t="s">
        <v>441</v>
      </c>
      <c r="D394" s="48">
        <f>№7!E124</f>
        <v>3415.4999999999995</v>
      </c>
      <c r="E394" s="48">
        <f>№7!F124</f>
        <v>3405.2</v>
      </c>
    </row>
    <row r="395" spans="1:5" ht="31.5">
      <c r="A395" s="60">
        <v>1620120220</v>
      </c>
      <c r="B395" s="58"/>
      <c r="C395" s="59" t="s">
        <v>125</v>
      </c>
      <c r="D395" s="48">
        <f>D396</f>
        <v>171.4</v>
      </c>
      <c r="E395" s="48">
        <f>E396</f>
        <v>171.4</v>
      </c>
    </row>
    <row r="396" spans="1:5" ht="31.5">
      <c r="A396" s="60">
        <v>1620120220</v>
      </c>
      <c r="B396" s="60" t="s">
        <v>75</v>
      </c>
      <c r="C396" s="59" t="s">
        <v>107</v>
      </c>
      <c r="D396" s="48">
        <f>D397</f>
        <v>171.4</v>
      </c>
      <c r="E396" s="48">
        <f>E397</f>
        <v>171.4</v>
      </c>
    </row>
    <row r="397" spans="1:5" ht="32.450000000000003" customHeight="1">
      <c r="A397" s="60">
        <v>1620120220</v>
      </c>
      <c r="B397" s="58">
        <v>240</v>
      </c>
      <c r="C397" s="178" t="s">
        <v>441</v>
      </c>
      <c r="D397" s="48">
        <f>№7!E127</f>
        <v>171.4</v>
      </c>
      <c r="E397" s="48">
        <f>№7!F127</f>
        <v>171.4</v>
      </c>
    </row>
    <row r="398" spans="1:5" ht="47.25">
      <c r="A398" s="60">
        <v>1620120230</v>
      </c>
      <c r="B398" s="60"/>
      <c r="C398" s="59" t="s">
        <v>132</v>
      </c>
      <c r="D398" s="48">
        <f>D399</f>
        <v>1793.7</v>
      </c>
      <c r="E398" s="48">
        <f>E399</f>
        <v>1788.9</v>
      </c>
    </row>
    <row r="399" spans="1:5" ht="31.5">
      <c r="A399" s="60">
        <v>1620120230</v>
      </c>
      <c r="B399" s="60" t="s">
        <v>75</v>
      </c>
      <c r="C399" s="59" t="s">
        <v>107</v>
      </c>
      <c r="D399" s="48">
        <f>D400</f>
        <v>1793.7</v>
      </c>
      <c r="E399" s="48">
        <f>E400</f>
        <v>1788.9</v>
      </c>
    </row>
    <row r="400" spans="1:5" ht="30.6" customHeight="1">
      <c r="A400" s="60">
        <v>1620120230</v>
      </c>
      <c r="B400" s="58">
        <v>240</v>
      </c>
      <c r="C400" s="178" t="s">
        <v>441</v>
      </c>
      <c r="D400" s="48">
        <f>№7!E286</f>
        <v>1793.7</v>
      </c>
      <c r="E400" s="48">
        <f>№7!F286</f>
        <v>1788.9</v>
      </c>
    </row>
    <row r="401" spans="1:5" ht="31.5">
      <c r="A401" s="60">
        <v>1620120240</v>
      </c>
      <c r="B401" s="60"/>
      <c r="C401" s="59" t="s">
        <v>130</v>
      </c>
      <c r="D401" s="48">
        <f>D402</f>
        <v>300</v>
      </c>
      <c r="E401" s="48">
        <f>E402</f>
        <v>299.5</v>
      </c>
    </row>
    <row r="402" spans="1:5" ht="31.5">
      <c r="A402" s="60">
        <v>1620120240</v>
      </c>
      <c r="B402" s="60" t="s">
        <v>75</v>
      </c>
      <c r="C402" s="59" t="s">
        <v>107</v>
      </c>
      <c r="D402" s="48">
        <f>D403</f>
        <v>300</v>
      </c>
      <c r="E402" s="48">
        <f>E403</f>
        <v>299.5</v>
      </c>
    </row>
    <row r="403" spans="1:5" ht="31.9" customHeight="1">
      <c r="A403" s="60">
        <v>1620120240</v>
      </c>
      <c r="B403" s="58">
        <v>240</v>
      </c>
      <c r="C403" s="178" t="s">
        <v>441</v>
      </c>
      <c r="D403" s="48">
        <f>№7!E273</f>
        <v>300</v>
      </c>
      <c r="E403" s="48">
        <f>№7!F273</f>
        <v>299.5</v>
      </c>
    </row>
    <row r="404" spans="1:5">
      <c r="A404" s="60">
        <v>1620200000</v>
      </c>
      <c r="B404" s="60"/>
      <c r="C404" s="59" t="s">
        <v>131</v>
      </c>
      <c r="D404" s="48">
        <f>D411+D408+D414+D405</f>
        <v>17311.8</v>
      </c>
      <c r="E404" s="48">
        <f>E411+E408+E414+E405</f>
        <v>17288.5</v>
      </c>
    </row>
    <row r="405" spans="1:5" ht="30.75" customHeight="1">
      <c r="A405" s="107">
        <v>1620210290</v>
      </c>
      <c r="B405" s="107"/>
      <c r="C405" s="106" t="s">
        <v>368</v>
      </c>
      <c r="D405" s="48">
        <f>D406</f>
        <v>4423.5</v>
      </c>
      <c r="E405" s="48">
        <f>E406</f>
        <v>4400.2</v>
      </c>
    </row>
    <row r="406" spans="1:5" ht="31.5">
      <c r="A406" s="107">
        <v>1620210290</v>
      </c>
      <c r="B406" s="107" t="s">
        <v>78</v>
      </c>
      <c r="C406" s="106" t="s">
        <v>108</v>
      </c>
      <c r="D406" s="48">
        <f>D407</f>
        <v>4423.5</v>
      </c>
      <c r="E406" s="48">
        <f>E407</f>
        <v>4400.2</v>
      </c>
    </row>
    <row r="407" spans="1:5">
      <c r="A407" s="107">
        <v>1620210290</v>
      </c>
      <c r="B407" s="107" t="s">
        <v>140</v>
      </c>
      <c r="C407" s="106" t="s">
        <v>141</v>
      </c>
      <c r="D407" s="48">
        <f>№7!E644</f>
        <v>4423.5</v>
      </c>
      <c r="E407" s="48">
        <f>№7!F644</f>
        <v>4400.2</v>
      </c>
    </row>
    <row r="408" spans="1:5" ht="63">
      <c r="A408" s="65">
        <v>1620210820</v>
      </c>
      <c r="B408" s="65"/>
      <c r="C408" s="64" t="s">
        <v>316</v>
      </c>
      <c r="D408" s="48">
        <f>D409</f>
        <v>8001.8</v>
      </c>
      <c r="E408" s="48">
        <f>E409</f>
        <v>8001.8</v>
      </c>
    </row>
    <row r="409" spans="1:5" ht="31.5">
      <c r="A409" s="65">
        <v>1620210820</v>
      </c>
      <c r="B409" s="65" t="s">
        <v>78</v>
      </c>
      <c r="C409" s="64" t="s">
        <v>108</v>
      </c>
      <c r="D409" s="48">
        <f>D410</f>
        <v>8001.8</v>
      </c>
      <c r="E409" s="48">
        <f>E410</f>
        <v>8001.8</v>
      </c>
    </row>
    <row r="410" spans="1:5">
      <c r="A410" s="65">
        <v>1620210820</v>
      </c>
      <c r="B410" s="65" t="s">
        <v>140</v>
      </c>
      <c r="C410" s="64" t="s">
        <v>141</v>
      </c>
      <c r="D410" s="48">
        <f>№7!E662</f>
        <v>8001.8</v>
      </c>
      <c r="E410" s="48">
        <f>№7!F662</f>
        <v>8001.8</v>
      </c>
    </row>
    <row r="411" spans="1:5" ht="47.25">
      <c r="A411" s="60" t="s">
        <v>134</v>
      </c>
      <c r="B411" s="60"/>
      <c r="C411" s="59" t="s">
        <v>313</v>
      </c>
      <c r="D411" s="48">
        <f>D412</f>
        <v>3000.7</v>
      </c>
      <c r="E411" s="48">
        <f>E412</f>
        <v>3000.7</v>
      </c>
    </row>
    <row r="412" spans="1:5" ht="31.5">
      <c r="A412" s="60" t="s">
        <v>134</v>
      </c>
      <c r="B412" s="60" t="s">
        <v>78</v>
      </c>
      <c r="C412" s="59" t="s">
        <v>108</v>
      </c>
      <c r="D412" s="48">
        <f>D413</f>
        <v>3000.7</v>
      </c>
      <c r="E412" s="48">
        <f>E413</f>
        <v>3000.7</v>
      </c>
    </row>
    <row r="413" spans="1:5">
      <c r="A413" s="60" t="s">
        <v>134</v>
      </c>
      <c r="B413" s="60" t="s">
        <v>140</v>
      </c>
      <c r="C413" s="59" t="s">
        <v>141</v>
      </c>
      <c r="D413" s="48">
        <f>№7!E665</f>
        <v>3000.7</v>
      </c>
      <c r="E413" s="48">
        <f>№7!F665</f>
        <v>3000.7</v>
      </c>
    </row>
    <row r="414" spans="1:5" ht="31.5">
      <c r="A414" s="68" t="s">
        <v>321</v>
      </c>
      <c r="B414" s="68"/>
      <c r="C414" s="67" t="s">
        <v>322</v>
      </c>
      <c r="D414" s="48">
        <f>D415</f>
        <v>1885.8</v>
      </c>
      <c r="E414" s="48">
        <f>E415</f>
        <v>1885.8</v>
      </c>
    </row>
    <row r="415" spans="1:5" ht="31.5">
      <c r="A415" s="68" t="s">
        <v>321</v>
      </c>
      <c r="B415" s="68" t="s">
        <v>78</v>
      </c>
      <c r="C415" s="67" t="s">
        <v>108</v>
      </c>
      <c r="D415" s="48">
        <f>D416</f>
        <v>1885.8</v>
      </c>
      <c r="E415" s="48">
        <f>E416</f>
        <v>1885.8</v>
      </c>
    </row>
    <row r="416" spans="1:5">
      <c r="A416" s="68" t="s">
        <v>321</v>
      </c>
      <c r="B416" s="68" t="s">
        <v>140</v>
      </c>
      <c r="C416" s="67" t="s">
        <v>141</v>
      </c>
      <c r="D416" s="48">
        <f>№7!E647</f>
        <v>1885.8</v>
      </c>
      <c r="E416" s="48">
        <f>№7!F647</f>
        <v>1885.8</v>
      </c>
    </row>
    <row r="417" spans="1:5" ht="31.5">
      <c r="A417" s="90">
        <v>1620300000</v>
      </c>
      <c r="B417" s="90"/>
      <c r="C417" s="89" t="s">
        <v>357</v>
      </c>
      <c r="D417" s="48">
        <f t="shared" ref="D417:E419" si="22">D418</f>
        <v>334.5</v>
      </c>
      <c r="E417" s="48">
        <f t="shared" si="22"/>
        <v>330.9</v>
      </c>
    </row>
    <row r="418" spans="1:5" ht="31.5">
      <c r="A418" s="90">
        <v>1620320030</v>
      </c>
      <c r="B418" s="88"/>
      <c r="C418" s="89" t="s">
        <v>358</v>
      </c>
      <c r="D418" s="48">
        <f t="shared" si="22"/>
        <v>334.5</v>
      </c>
      <c r="E418" s="48">
        <f t="shared" si="22"/>
        <v>330.9</v>
      </c>
    </row>
    <row r="419" spans="1:5" ht="31.5">
      <c r="A419" s="90">
        <v>1620320030</v>
      </c>
      <c r="B419" s="90" t="s">
        <v>75</v>
      </c>
      <c r="C419" s="89" t="s">
        <v>107</v>
      </c>
      <c r="D419" s="48">
        <f t="shared" si="22"/>
        <v>334.5</v>
      </c>
      <c r="E419" s="48">
        <f t="shared" si="22"/>
        <v>330.9</v>
      </c>
    </row>
    <row r="420" spans="1:5" ht="31.5">
      <c r="A420" s="90">
        <v>1620320030</v>
      </c>
      <c r="B420" s="88">
        <v>240</v>
      </c>
      <c r="C420" s="178" t="s">
        <v>441</v>
      </c>
      <c r="D420" s="48">
        <f>№7!E131</f>
        <v>334.5</v>
      </c>
      <c r="E420" s="48">
        <f>№7!F131</f>
        <v>330.9</v>
      </c>
    </row>
    <row r="421" spans="1:5" ht="47.25">
      <c r="A421" s="60">
        <v>1630000000</v>
      </c>
      <c r="B421" s="58"/>
      <c r="C421" s="59" t="s">
        <v>274</v>
      </c>
      <c r="D421" s="48">
        <f>D422+D431</f>
        <v>1950.2</v>
      </c>
      <c r="E421" s="48">
        <f>E422+E431</f>
        <v>1914.5</v>
      </c>
    </row>
    <row r="422" spans="1:5" ht="47.25">
      <c r="A422" s="58">
        <v>1630100000</v>
      </c>
      <c r="B422" s="58"/>
      <c r="C422" s="59" t="s">
        <v>275</v>
      </c>
      <c r="D422" s="48">
        <f>D423+D428</f>
        <v>1805.1000000000001</v>
      </c>
      <c r="E422" s="48">
        <f>E423+E428</f>
        <v>1769.4</v>
      </c>
    </row>
    <row r="423" spans="1:5" ht="47.25">
      <c r="A423" s="58">
        <v>1630120180</v>
      </c>
      <c r="B423" s="58"/>
      <c r="C423" s="59" t="s">
        <v>276</v>
      </c>
      <c r="D423" s="48">
        <f>D424+D426</f>
        <v>1204.6000000000001</v>
      </c>
      <c r="E423" s="48">
        <f>E424+E426</f>
        <v>1168.9000000000001</v>
      </c>
    </row>
    <row r="424" spans="1:5" ht="31.5">
      <c r="A424" s="58">
        <v>1630120180</v>
      </c>
      <c r="B424" s="58" t="s">
        <v>75</v>
      </c>
      <c r="C424" s="59" t="s">
        <v>107</v>
      </c>
      <c r="D424" s="48">
        <f>D425</f>
        <v>1183.7</v>
      </c>
      <c r="E424" s="48">
        <f>E425</f>
        <v>1148</v>
      </c>
    </row>
    <row r="425" spans="1:5" ht="29.45" customHeight="1">
      <c r="A425" s="58">
        <v>1630120180</v>
      </c>
      <c r="B425" s="58">
        <v>240</v>
      </c>
      <c r="C425" s="178" t="s">
        <v>441</v>
      </c>
      <c r="D425" s="48">
        <f>№7!E136</f>
        <v>1183.7</v>
      </c>
      <c r="E425" s="48">
        <f>№7!F136</f>
        <v>1148</v>
      </c>
    </row>
    <row r="426" spans="1:5" ht="31.5">
      <c r="A426" s="58">
        <v>1630120180</v>
      </c>
      <c r="B426" s="60" t="s">
        <v>109</v>
      </c>
      <c r="C426" s="59" t="s">
        <v>110</v>
      </c>
      <c r="D426" s="48">
        <f>D427</f>
        <v>20.899999999999991</v>
      </c>
      <c r="E426" s="48">
        <f>E427</f>
        <v>20.9</v>
      </c>
    </row>
    <row r="427" spans="1:5">
      <c r="A427" s="58">
        <v>1630120180</v>
      </c>
      <c r="B427" s="58">
        <v>610</v>
      </c>
      <c r="C427" s="59" t="s">
        <v>123</v>
      </c>
      <c r="D427" s="48">
        <f>№7!E278</f>
        <v>20.899999999999991</v>
      </c>
      <c r="E427" s="48">
        <f>№7!F278</f>
        <v>20.9</v>
      </c>
    </row>
    <row r="428" spans="1:5" ht="31.5">
      <c r="A428" s="58">
        <v>1630120520</v>
      </c>
      <c r="B428" s="58"/>
      <c r="C428" s="59" t="s">
        <v>286</v>
      </c>
      <c r="D428" s="48">
        <f>D429</f>
        <v>600.5</v>
      </c>
      <c r="E428" s="48">
        <f>E429</f>
        <v>600.5</v>
      </c>
    </row>
    <row r="429" spans="1:5" ht="31.5">
      <c r="A429" s="58">
        <v>1630120520</v>
      </c>
      <c r="B429" s="58" t="s">
        <v>75</v>
      </c>
      <c r="C429" s="59" t="s">
        <v>107</v>
      </c>
      <c r="D429" s="48">
        <f>D430</f>
        <v>600.5</v>
      </c>
      <c r="E429" s="48">
        <f>E430</f>
        <v>600.5</v>
      </c>
    </row>
    <row r="430" spans="1:5" ht="32.450000000000003" customHeight="1">
      <c r="A430" s="58">
        <v>1630120520</v>
      </c>
      <c r="B430" s="58">
        <v>240</v>
      </c>
      <c r="C430" s="178" t="s">
        <v>441</v>
      </c>
      <c r="D430" s="48">
        <f>№7!E139</f>
        <v>600.5</v>
      </c>
      <c r="E430" s="48">
        <f>№7!F139</f>
        <v>600.5</v>
      </c>
    </row>
    <row r="431" spans="1:5" ht="33" customHeight="1">
      <c r="A431" s="58">
        <v>1630200000</v>
      </c>
      <c r="B431" s="58"/>
      <c r="C431" s="59" t="s">
        <v>277</v>
      </c>
      <c r="D431" s="48">
        <f t="shared" ref="D431:E433" si="23">D432</f>
        <v>145.1</v>
      </c>
      <c r="E431" s="48">
        <f t="shared" si="23"/>
        <v>145.1</v>
      </c>
    </row>
    <row r="432" spans="1:5">
      <c r="A432" s="58">
        <v>1630220530</v>
      </c>
      <c r="B432" s="58"/>
      <c r="C432" s="59" t="s">
        <v>278</v>
      </c>
      <c r="D432" s="48">
        <f t="shared" si="23"/>
        <v>145.1</v>
      </c>
      <c r="E432" s="48">
        <f t="shared" si="23"/>
        <v>145.1</v>
      </c>
    </row>
    <row r="433" spans="1:5" ht="31.5">
      <c r="A433" s="58">
        <v>1630220530</v>
      </c>
      <c r="B433" s="58" t="s">
        <v>75</v>
      </c>
      <c r="C433" s="59" t="s">
        <v>107</v>
      </c>
      <c r="D433" s="48">
        <f t="shared" si="23"/>
        <v>145.1</v>
      </c>
      <c r="E433" s="48">
        <f t="shared" si="23"/>
        <v>145.1</v>
      </c>
    </row>
    <row r="434" spans="1:5" ht="33" customHeight="1">
      <c r="A434" s="58">
        <v>1630220530</v>
      </c>
      <c r="B434" s="58">
        <v>240</v>
      </c>
      <c r="C434" s="178" t="s">
        <v>441</v>
      </c>
      <c r="D434" s="48">
        <f>№7!E143</f>
        <v>145.1</v>
      </c>
      <c r="E434" s="48">
        <f>№7!F143</f>
        <v>145.1</v>
      </c>
    </row>
    <row r="435" spans="1:5" ht="31.5">
      <c r="A435" s="60">
        <v>1640000000</v>
      </c>
      <c r="B435" s="1"/>
      <c r="C435" s="22" t="s">
        <v>267</v>
      </c>
      <c r="D435" s="48">
        <f>D436+D440</f>
        <v>269.39999999999998</v>
      </c>
      <c r="E435" s="48">
        <f>E436+E440</f>
        <v>269.39999999999998</v>
      </c>
    </row>
    <row r="436" spans="1:5" ht="31.5">
      <c r="A436" s="60">
        <v>1640100000</v>
      </c>
      <c r="B436" s="58"/>
      <c r="C436" s="59" t="s">
        <v>269</v>
      </c>
      <c r="D436" s="48">
        <f t="shared" ref="D436:E438" si="24">D437</f>
        <v>243.4</v>
      </c>
      <c r="E436" s="48">
        <f t="shared" si="24"/>
        <v>243.4</v>
      </c>
    </row>
    <row r="437" spans="1:5">
      <c r="A437" s="60">
        <v>1640120510</v>
      </c>
      <c r="B437" s="58"/>
      <c r="C437" s="59" t="s">
        <v>271</v>
      </c>
      <c r="D437" s="48">
        <f t="shared" si="24"/>
        <v>243.4</v>
      </c>
      <c r="E437" s="48">
        <f t="shared" si="24"/>
        <v>243.4</v>
      </c>
    </row>
    <row r="438" spans="1:5" ht="31.5">
      <c r="A438" s="60">
        <v>1640120510</v>
      </c>
      <c r="B438" s="60" t="s">
        <v>75</v>
      </c>
      <c r="C438" s="59" t="s">
        <v>107</v>
      </c>
      <c r="D438" s="48">
        <f t="shared" si="24"/>
        <v>243.4</v>
      </c>
      <c r="E438" s="48">
        <f t="shared" si="24"/>
        <v>243.4</v>
      </c>
    </row>
    <row r="439" spans="1:5" ht="32.450000000000003" customHeight="1">
      <c r="A439" s="60">
        <v>1640120510</v>
      </c>
      <c r="B439" s="58">
        <v>240</v>
      </c>
      <c r="C439" s="178" t="s">
        <v>441</v>
      </c>
      <c r="D439" s="48">
        <f>№7!E490</f>
        <v>243.4</v>
      </c>
      <c r="E439" s="48">
        <f>№7!F490</f>
        <v>243.4</v>
      </c>
    </row>
    <row r="440" spans="1:5" ht="31.5">
      <c r="A440" s="58">
        <v>1640200000</v>
      </c>
      <c r="B440" s="1"/>
      <c r="C440" s="22" t="s">
        <v>270</v>
      </c>
      <c r="D440" s="48">
        <f t="shared" ref="D440:E442" si="25">D441</f>
        <v>26</v>
      </c>
      <c r="E440" s="48">
        <f t="shared" si="25"/>
        <v>26</v>
      </c>
    </row>
    <row r="441" spans="1:5">
      <c r="A441" s="58">
        <v>1640220250</v>
      </c>
      <c r="B441" s="1"/>
      <c r="C441" s="22" t="s">
        <v>268</v>
      </c>
      <c r="D441" s="48">
        <f t="shared" si="25"/>
        <v>26</v>
      </c>
      <c r="E441" s="48">
        <f t="shared" si="25"/>
        <v>26</v>
      </c>
    </row>
    <row r="442" spans="1:5" ht="31.5">
      <c r="A442" s="58">
        <v>1640220250</v>
      </c>
      <c r="B442" s="60" t="s">
        <v>75</v>
      </c>
      <c r="C442" s="59" t="s">
        <v>107</v>
      </c>
      <c r="D442" s="48">
        <f t="shared" si="25"/>
        <v>26</v>
      </c>
      <c r="E442" s="48">
        <f t="shared" si="25"/>
        <v>26</v>
      </c>
    </row>
    <row r="443" spans="1:5" ht="31.9" customHeight="1">
      <c r="A443" s="58">
        <v>1640220250</v>
      </c>
      <c r="B443" s="58">
        <v>240</v>
      </c>
      <c r="C443" s="178" t="s">
        <v>441</v>
      </c>
      <c r="D443" s="48">
        <f>№7!E148</f>
        <v>26</v>
      </c>
      <c r="E443" s="48">
        <f>№7!F148</f>
        <v>26</v>
      </c>
    </row>
    <row r="444" spans="1:5">
      <c r="A444" s="19">
        <v>9900000000</v>
      </c>
      <c r="B444" s="19"/>
      <c r="C444" s="32" t="s">
        <v>124</v>
      </c>
      <c r="D444" s="47">
        <f>D445+D453+D467+D449</f>
        <v>74182.400000000009</v>
      </c>
      <c r="E444" s="47">
        <f t="shared" ref="E444" si="26">E445+E453+E467+E449</f>
        <v>73685.600000000006</v>
      </c>
    </row>
    <row r="445" spans="1:5">
      <c r="A445" s="58">
        <v>9910000000</v>
      </c>
      <c r="B445" s="58"/>
      <c r="C445" s="59" t="s">
        <v>12</v>
      </c>
      <c r="D445" s="48">
        <f t="shared" ref="D445:E447" si="27">D446</f>
        <v>200</v>
      </c>
      <c r="E445" s="48">
        <f t="shared" si="27"/>
        <v>0</v>
      </c>
    </row>
    <row r="446" spans="1:5" ht="31.5">
      <c r="A446" s="58">
        <v>9910020000</v>
      </c>
      <c r="B446" s="58"/>
      <c r="C446" s="59" t="s">
        <v>207</v>
      </c>
      <c r="D446" s="48">
        <f t="shared" si="27"/>
        <v>200</v>
      </c>
      <c r="E446" s="48">
        <f t="shared" si="27"/>
        <v>0</v>
      </c>
    </row>
    <row r="447" spans="1:5">
      <c r="A447" s="58">
        <v>9910020000</v>
      </c>
      <c r="B447" s="60" t="s">
        <v>76</v>
      </c>
      <c r="C447" s="59" t="s">
        <v>77</v>
      </c>
      <c r="D447" s="48">
        <f t="shared" si="27"/>
        <v>200</v>
      </c>
      <c r="E447" s="48">
        <f t="shared" si="27"/>
        <v>0</v>
      </c>
    </row>
    <row r="448" spans="1:5">
      <c r="A448" s="58">
        <v>9910020000</v>
      </c>
      <c r="B448" s="3" t="s">
        <v>208</v>
      </c>
      <c r="C448" s="22" t="s">
        <v>209</v>
      </c>
      <c r="D448" s="48">
        <f>№6!F522</f>
        <v>200</v>
      </c>
      <c r="E448" s="48">
        <f>№6!G522</f>
        <v>0</v>
      </c>
    </row>
    <row r="449" spans="1:5" ht="47.25">
      <c r="A449" s="105">
        <v>9920000000</v>
      </c>
      <c r="B449" s="105"/>
      <c r="C449" s="106" t="s">
        <v>366</v>
      </c>
      <c r="D449" s="48">
        <f t="shared" ref="D449:E451" si="28">D450</f>
        <v>1000.1</v>
      </c>
      <c r="E449" s="48">
        <f t="shared" si="28"/>
        <v>1000.1</v>
      </c>
    </row>
    <row r="450" spans="1:5" ht="31.5">
      <c r="A450" s="105">
        <v>9920010920</v>
      </c>
      <c r="B450" s="105"/>
      <c r="C450" s="106" t="s">
        <v>367</v>
      </c>
      <c r="D450" s="48">
        <f t="shared" si="28"/>
        <v>1000.1</v>
      </c>
      <c r="E450" s="48">
        <f t="shared" si="28"/>
        <v>1000.1</v>
      </c>
    </row>
    <row r="451" spans="1:5" ht="31.5">
      <c r="A451" s="105">
        <v>9920010920</v>
      </c>
      <c r="B451" s="107" t="s">
        <v>109</v>
      </c>
      <c r="C451" s="106" t="s">
        <v>110</v>
      </c>
      <c r="D451" s="48">
        <f t="shared" si="28"/>
        <v>1000.1</v>
      </c>
      <c r="E451" s="48">
        <f t="shared" si="28"/>
        <v>1000.1</v>
      </c>
    </row>
    <row r="452" spans="1:5">
      <c r="A452" s="105">
        <v>9920010920</v>
      </c>
      <c r="B452" s="105">
        <v>610</v>
      </c>
      <c r="C452" s="106" t="s">
        <v>123</v>
      </c>
      <c r="D452" s="48">
        <f>№7!E483+№7!E607+№7!E446</f>
        <v>1000.1</v>
      </c>
      <c r="E452" s="48">
        <f>№7!F483+№7!F607+№7!F446</f>
        <v>1000.1</v>
      </c>
    </row>
    <row r="453" spans="1:5" ht="31.5">
      <c r="A453" s="58">
        <v>9930000000</v>
      </c>
      <c r="B453" s="58"/>
      <c r="C453" s="59" t="s">
        <v>202</v>
      </c>
      <c r="D453" s="48">
        <f>D458+D464+D454+D461</f>
        <v>1826.4999999999998</v>
      </c>
      <c r="E453" s="48">
        <f>E458+E464+E454+E461</f>
        <v>1700.1999999999998</v>
      </c>
    </row>
    <row r="454" spans="1:5" ht="31.5">
      <c r="A454" s="66">
        <v>9930020490</v>
      </c>
      <c r="B454" s="66"/>
      <c r="C454" s="67" t="s">
        <v>332</v>
      </c>
      <c r="D454" s="48">
        <f>D455</f>
        <v>1597.6999999999998</v>
      </c>
      <c r="E454" s="48">
        <f>E455</f>
        <v>1597.6999999999998</v>
      </c>
    </row>
    <row r="455" spans="1:5">
      <c r="A455" s="66">
        <v>9930020490</v>
      </c>
      <c r="B455" s="13" t="s">
        <v>76</v>
      </c>
      <c r="C455" s="71" t="s">
        <v>77</v>
      </c>
      <c r="D455" s="48">
        <f>D456+D457</f>
        <v>1597.6999999999998</v>
      </c>
      <c r="E455" s="48">
        <f>E456+E457</f>
        <v>1597.6999999999998</v>
      </c>
    </row>
    <row r="456" spans="1:5">
      <c r="A456" s="66">
        <v>9930020490</v>
      </c>
      <c r="B456" s="1" t="s">
        <v>333</v>
      </c>
      <c r="C456" s="22" t="s">
        <v>334</v>
      </c>
      <c r="D456" s="48">
        <f>№7!E153</f>
        <v>1587.6999999999998</v>
      </c>
      <c r="E456" s="48">
        <f>№7!F153</f>
        <v>1587.6999999999998</v>
      </c>
    </row>
    <row r="457" spans="1:5">
      <c r="A457" s="191">
        <v>9930020490</v>
      </c>
      <c r="B457" s="1" t="s">
        <v>468</v>
      </c>
      <c r="C457" s="192" t="s">
        <v>119</v>
      </c>
      <c r="D457" s="48">
        <f>№7!E154</f>
        <v>10</v>
      </c>
      <c r="E457" s="48">
        <f>№7!F154</f>
        <v>10</v>
      </c>
    </row>
    <row r="458" spans="1:5">
      <c r="A458" s="58">
        <v>9930020500</v>
      </c>
      <c r="B458" s="58"/>
      <c r="C458" s="59" t="s">
        <v>111</v>
      </c>
      <c r="D458" s="48">
        <f>D459</f>
        <v>80.300000000000011</v>
      </c>
      <c r="E458" s="48">
        <f>E459</f>
        <v>80.3</v>
      </c>
    </row>
    <row r="459" spans="1:5">
      <c r="A459" s="58">
        <v>9930020500</v>
      </c>
      <c r="B459" s="58" t="s">
        <v>112</v>
      </c>
      <c r="C459" s="59" t="s">
        <v>113</v>
      </c>
      <c r="D459" s="48">
        <f>D460</f>
        <v>80.300000000000011</v>
      </c>
      <c r="E459" s="48">
        <f>E460</f>
        <v>80.3</v>
      </c>
    </row>
    <row r="460" spans="1:5">
      <c r="A460" s="58">
        <v>9930020500</v>
      </c>
      <c r="B460" s="1" t="s">
        <v>210</v>
      </c>
      <c r="C460" s="22" t="s">
        <v>111</v>
      </c>
      <c r="D460" s="48">
        <f>№6!F549</f>
        <v>80.300000000000011</v>
      </c>
      <c r="E460" s="48">
        <f>№6!G549</f>
        <v>80.3</v>
      </c>
    </row>
    <row r="461" spans="1:5" ht="47.25">
      <c r="A461" s="76">
        <v>9930020510</v>
      </c>
      <c r="B461" s="76"/>
      <c r="C461" s="77" t="s">
        <v>341</v>
      </c>
      <c r="D461" s="48">
        <f>D462</f>
        <v>3.5</v>
      </c>
      <c r="E461" s="48">
        <f>E462</f>
        <v>3.5</v>
      </c>
    </row>
    <row r="462" spans="1:5" ht="31.5">
      <c r="A462" s="76">
        <v>9930020510</v>
      </c>
      <c r="B462" s="76" t="s">
        <v>75</v>
      </c>
      <c r="C462" s="77" t="s">
        <v>107</v>
      </c>
      <c r="D462" s="48">
        <f>D463</f>
        <v>3.5</v>
      </c>
      <c r="E462" s="48">
        <f>E463</f>
        <v>3.5</v>
      </c>
    </row>
    <row r="463" spans="1:5" ht="30.6" customHeight="1">
      <c r="A463" s="76">
        <v>9930020510</v>
      </c>
      <c r="B463" s="76">
        <v>240</v>
      </c>
      <c r="C463" s="178" t="s">
        <v>441</v>
      </c>
      <c r="D463" s="48">
        <f>№7!E157</f>
        <v>3.5</v>
      </c>
      <c r="E463" s="48">
        <f>№7!F157</f>
        <v>3.5</v>
      </c>
    </row>
    <row r="464" spans="1:5" ht="47.25">
      <c r="A464" s="58">
        <v>9930051200</v>
      </c>
      <c r="B464" s="58"/>
      <c r="C464" s="59" t="s">
        <v>203</v>
      </c>
      <c r="D464" s="48">
        <f>D465</f>
        <v>145</v>
      </c>
      <c r="E464" s="48">
        <f>E465</f>
        <v>18.7</v>
      </c>
    </row>
    <row r="465" spans="1:5" ht="31.5">
      <c r="A465" s="58">
        <v>9930051200</v>
      </c>
      <c r="B465" s="58" t="s">
        <v>75</v>
      </c>
      <c r="C465" s="59" t="s">
        <v>107</v>
      </c>
      <c r="D465" s="48">
        <f>D466</f>
        <v>145</v>
      </c>
      <c r="E465" s="48">
        <f>E466</f>
        <v>18.7</v>
      </c>
    </row>
    <row r="466" spans="1:5" ht="31.15" customHeight="1">
      <c r="A466" s="58">
        <v>9930051200</v>
      </c>
      <c r="B466" s="58">
        <v>240</v>
      </c>
      <c r="C466" s="178" t="s">
        <v>441</v>
      </c>
      <c r="D466" s="48">
        <f>№6!F47</f>
        <v>145</v>
      </c>
      <c r="E466" s="48">
        <f>№6!G47</f>
        <v>18.7</v>
      </c>
    </row>
    <row r="467" spans="1:5" ht="31.5">
      <c r="A467" s="58">
        <v>9990000000</v>
      </c>
      <c r="B467" s="58"/>
      <c r="C467" s="59" t="s">
        <v>189</v>
      </c>
      <c r="D467" s="48">
        <f>D468+D471+D486+D523+D532+D535</f>
        <v>71155.8</v>
      </c>
      <c r="E467" s="48">
        <f>E468+E471+E486+E523+E532+E535</f>
        <v>70985.3</v>
      </c>
    </row>
    <row r="468" spans="1:5">
      <c r="A468" s="58">
        <v>9990021000</v>
      </c>
      <c r="B468" s="30"/>
      <c r="C468" s="59" t="s">
        <v>190</v>
      </c>
      <c r="D468" s="48">
        <f>D469</f>
        <v>1731.3999999999999</v>
      </c>
      <c r="E468" s="48">
        <f>E469</f>
        <v>1731.4</v>
      </c>
    </row>
    <row r="469" spans="1:5" ht="45.75" customHeight="1">
      <c r="A469" s="58">
        <v>9990021000</v>
      </c>
      <c r="B469" s="58" t="s">
        <v>74</v>
      </c>
      <c r="C469" s="59" t="s">
        <v>2</v>
      </c>
      <c r="D469" s="48">
        <f>D470</f>
        <v>1731.3999999999999</v>
      </c>
      <c r="E469" s="48">
        <f>E470</f>
        <v>1731.4</v>
      </c>
    </row>
    <row r="470" spans="1:5" ht="33" customHeight="1">
      <c r="A470" s="58">
        <v>9990021000</v>
      </c>
      <c r="B470" s="58">
        <v>120</v>
      </c>
      <c r="C470" s="59" t="s">
        <v>443</v>
      </c>
      <c r="D470" s="48">
        <f>№7!E13</f>
        <v>1731.3999999999999</v>
      </c>
      <c r="E470" s="48">
        <f>№7!F13</f>
        <v>1731.4</v>
      </c>
    </row>
    <row r="471" spans="1:5" ht="31.5">
      <c r="A471" s="58">
        <v>9990100000</v>
      </c>
      <c r="B471" s="58"/>
      <c r="C471" s="59" t="s">
        <v>211</v>
      </c>
      <c r="D471" s="48">
        <f>D478+D481+D472+D475</f>
        <v>3614.5</v>
      </c>
      <c r="E471" s="48">
        <f>E478+E481+E472+E475</f>
        <v>3614.5</v>
      </c>
    </row>
    <row r="472" spans="1:5" ht="47.25">
      <c r="A472" s="199">
        <v>9990110200</v>
      </c>
      <c r="B472" s="199"/>
      <c r="C472" s="200" t="s">
        <v>349</v>
      </c>
      <c r="D472" s="48">
        <f>D473</f>
        <v>50.9</v>
      </c>
      <c r="E472" s="48">
        <f>E473</f>
        <v>50.9</v>
      </c>
    </row>
    <row r="473" spans="1:5" ht="48" customHeight="1">
      <c r="A473" s="199">
        <v>9990110200</v>
      </c>
      <c r="B473" s="201" t="s">
        <v>74</v>
      </c>
      <c r="C473" s="200" t="s">
        <v>2</v>
      </c>
      <c r="D473" s="48">
        <f>D474</f>
        <v>50.9</v>
      </c>
      <c r="E473" s="48">
        <f>E474</f>
        <v>50.9</v>
      </c>
    </row>
    <row r="474" spans="1:5" ht="31.5">
      <c r="A474" s="199">
        <v>9990110200</v>
      </c>
      <c r="B474" s="199">
        <v>120</v>
      </c>
      <c r="C474" s="200" t="s">
        <v>443</v>
      </c>
      <c r="D474" s="48">
        <f>№7!E20</f>
        <v>50.9</v>
      </c>
      <c r="E474" s="48">
        <f>№7!F20</f>
        <v>50.9</v>
      </c>
    </row>
    <row r="475" spans="1:5" ht="47.25">
      <c r="A475" s="199" t="s">
        <v>471</v>
      </c>
      <c r="B475" s="199"/>
      <c r="C475" s="200" t="s">
        <v>354</v>
      </c>
      <c r="D475" s="48">
        <f>D476</f>
        <v>5.0999999999999996</v>
      </c>
      <c r="E475" s="48">
        <f>E476</f>
        <v>5.0999999999999996</v>
      </c>
    </row>
    <row r="476" spans="1:5" ht="48.75" customHeight="1">
      <c r="A476" s="199" t="s">
        <v>471</v>
      </c>
      <c r="B476" s="201" t="s">
        <v>74</v>
      </c>
      <c r="C476" s="200" t="s">
        <v>2</v>
      </c>
      <c r="D476" s="48">
        <f>D477</f>
        <v>5.0999999999999996</v>
      </c>
      <c r="E476" s="48">
        <f>E477</f>
        <v>5.0999999999999996</v>
      </c>
    </row>
    <row r="477" spans="1:5" ht="31.5">
      <c r="A477" s="199" t="s">
        <v>471</v>
      </c>
      <c r="B477" s="199">
        <v>120</v>
      </c>
      <c r="C477" s="200" t="s">
        <v>443</v>
      </c>
      <c r="D477" s="48">
        <f>№7!E23</f>
        <v>5.0999999999999996</v>
      </c>
      <c r="E477" s="48">
        <f>№7!F23</f>
        <v>5.0999999999999996</v>
      </c>
    </row>
    <row r="478" spans="1:5">
      <c r="A478" s="58">
        <v>9990122000</v>
      </c>
      <c r="B478" s="58"/>
      <c r="C478" s="59" t="s">
        <v>212</v>
      </c>
      <c r="D478" s="48">
        <f>D479</f>
        <v>854.49999999999989</v>
      </c>
      <c r="E478" s="48">
        <f>E479</f>
        <v>854.5</v>
      </c>
    </row>
    <row r="479" spans="1:5" ht="48.75" customHeight="1">
      <c r="A479" s="58">
        <v>9990122000</v>
      </c>
      <c r="B479" s="60" t="s">
        <v>74</v>
      </c>
      <c r="C479" s="59" t="s">
        <v>2</v>
      </c>
      <c r="D479" s="48">
        <f>D480</f>
        <v>854.49999999999989</v>
      </c>
      <c r="E479" s="48">
        <f>E480</f>
        <v>854.5</v>
      </c>
    </row>
    <row r="480" spans="1:5" ht="33" customHeight="1">
      <c r="A480" s="58">
        <v>9990122000</v>
      </c>
      <c r="B480" s="58">
        <v>120</v>
      </c>
      <c r="C480" s="59" t="s">
        <v>443</v>
      </c>
      <c r="D480" s="48">
        <f>№7!E26</f>
        <v>854.49999999999989</v>
      </c>
      <c r="E480" s="48">
        <f>№7!F26</f>
        <v>854.5</v>
      </c>
    </row>
    <row r="481" spans="1:5" ht="31.5">
      <c r="A481" s="58">
        <v>9990123000</v>
      </c>
      <c r="B481" s="58"/>
      <c r="C481" s="59" t="s">
        <v>213</v>
      </c>
      <c r="D481" s="48">
        <f>D482+D484</f>
        <v>2704</v>
      </c>
      <c r="E481" s="48">
        <f>E482+E484</f>
        <v>2704</v>
      </c>
    </row>
    <row r="482" spans="1:5" ht="48.75" customHeight="1">
      <c r="A482" s="58">
        <v>9990123000</v>
      </c>
      <c r="B482" s="58" t="s">
        <v>74</v>
      </c>
      <c r="C482" s="59" t="s">
        <v>2</v>
      </c>
      <c r="D482" s="48">
        <f>D483</f>
        <v>2181.7000000000003</v>
      </c>
      <c r="E482" s="48">
        <f>E483</f>
        <v>2181.6999999999998</v>
      </c>
    </row>
    <row r="483" spans="1:5" ht="33" customHeight="1">
      <c r="A483" s="58">
        <v>9990123000</v>
      </c>
      <c r="B483" s="58">
        <v>120</v>
      </c>
      <c r="C483" s="59" t="s">
        <v>443</v>
      </c>
      <c r="D483" s="48">
        <f>№7!E29</f>
        <v>2181.7000000000003</v>
      </c>
      <c r="E483" s="48">
        <f>№7!F29</f>
        <v>2181.6999999999998</v>
      </c>
    </row>
    <row r="484" spans="1:5" ht="32.450000000000003" customHeight="1">
      <c r="A484" s="58">
        <v>9990123000</v>
      </c>
      <c r="B484" s="103" t="s">
        <v>75</v>
      </c>
      <c r="C484" s="102" t="s">
        <v>107</v>
      </c>
      <c r="D484" s="48">
        <f>D485</f>
        <v>522.29999999999995</v>
      </c>
      <c r="E484" s="48">
        <f>E485</f>
        <v>522.29999999999995</v>
      </c>
    </row>
    <row r="485" spans="1:5" ht="32.450000000000003" customHeight="1">
      <c r="A485" s="58">
        <v>9990123000</v>
      </c>
      <c r="B485" s="101">
        <v>240</v>
      </c>
      <c r="C485" s="178" t="s">
        <v>441</v>
      </c>
      <c r="D485" s="48">
        <f>№7!E31</f>
        <v>522.29999999999995</v>
      </c>
      <c r="E485" s="48">
        <f>№7!F31</f>
        <v>522.29999999999995</v>
      </c>
    </row>
    <row r="486" spans="1:5" ht="31.5">
      <c r="A486" s="58">
        <v>9990200000</v>
      </c>
      <c r="B486" s="30"/>
      <c r="C486" s="59" t="s">
        <v>138</v>
      </c>
      <c r="D486" s="48">
        <f>D506+D515+D490+D495+D518+D500+D487+D503</f>
        <v>45209.2</v>
      </c>
      <c r="E486" s="48">
        <f>E506+E515+E490+E495+E518+E500+E487+E503</f>
        <v>45173.8</v>
      </c>
    </row>
    <row r="487" spans="1:5" ht="47.25">
      <c r="A487" s="203">
        <v>9990210200</v>
      </c>
      <c r="B487" s="30"/>
      <c r="C487" s="204" t="s">
        <v>349</v>
      </c>
      <c r="D487" s="48">
        <f>D488</f>
        <v>106.9</v>
      </c>
      <c r="E487" s="48">
        <f>E488</f>
        <v>106.9</v>
      </c>
    </row>
    <row r="488" spans="1:5" ht="51.75" customHeight="1">
      <c r="A488" s="199">
        <v>9990210200</v>
      </c>
      <c r="B488" s="199" t="s">
        <v>74</v>
      </c>
      <c r="C488" s="200" t="s">
        <v>2</v>
      </c>
      <c r="D488" s="48">
        <f>D489</f>
        <v>106.9</v>
      </c>
      <c r="E488" s="48">
        <f>E489</f>
        <v>106.9</v>
      </c>
    </row>
    <row r="489" spans="1:5" ht="31.5">
      <c r="A489" s="199">
        <v>9990210200</v>
      </c>
      <c r="B489" s="199">
        <v>120</v>
      </c>
      <c r="C489" s="200" t="s">
        <v>443</v>
      </c>
      <c r="D489" s="48">
        <f>№7!E71+№6!F21</f>
        <v>106.9</v>
      </c>
      <c r="E489" s="48">
        <f>№7!F71+№6!G21</f>
        <v>106.9</v>
      </c>
    </row>
    <row r="490" spans="1:5" ht="47.25">
      <c r="A490" s="58">
        <v>9990210510</v>
      </c>
      <c r="B490" s="58"/>
      <c r="C490" s="59" t="s">
        <v>192</v>
      </c>
      <c r="D490" s="48">
        <f>D491+D493</f>
        <v>650</v>
      </c>
      <c r="E490" s="48">
        <f>E491+E493</f>
        <v>650</v>
      </c>
    </row>
    <row r="491" spans="1:5" ht="47.25" customHeight="1">
      <c r="A491" s="58">
        <v>9990210510</v>
      </c>
      <c r="B491" s="58" t="s">
        <v>74</v>
      </c>
      <c r="C491" s="59" t="s">
        <v>2</v>
      </c>
      <c r="D491" s="48">
        <f>D492</f>
        <v>575</v>
      </c>
      <c r="E491" s="48">
        <f>E492</f>
        <v>575</v>
      </c>
    </row>
    <row r="492" spans="1:5" ht="31.5">
      <c r="A492" s="58">
        <v>9990210510</v>
      </c>
      <c r="B492" s="58">
        <v>120</v>
      </c>
      <c r="C492" s="178" t="s">
        <v>443</v>
      </c>
      <c r="D492" s="48">
        <f>№7!E41</f>
        <v>575</v>
      </c>
      <c r="E492" s="48">
        <f>№7!F41</f>
        <v>575</v>
      </c>
    </row>
    <row r="493" spans="1:5" ht="31.5">
      <c r="A493" s="58">
        <v>9990210510</v>
      </c>
      <c r="B493" s="58" t="s">
        <v>75</v>
      </c>
      <c r="C493" s="59" t="s">
        <v>107</v>
      </c>
      <c r="D493" s="48">
        <f>D494</f>
        <v>75</v>
      </c>
      <c r="E493" s="48">
        <f>E494</f>
        <v>75</v>
      </c>
    </row>
    <row r="494" spans="1:5" ht="31.5">
      <c r="A494" s="58">
        <v>9990210510</v>
      </c>
      <c r="B494" s="58">
        <v>240</v>
      </c>
      <c r="C494" s="178" t="s">
        <v>441</v>
      </c>
      <c r="D494" s="48">
        <f>№7!E43</f>
        <v>75</v>
      </c>
      <c r="E494" s="48">
        <f>№7!F43</f>
        <v>75</v>
      </c>
    </row>
    <row r="495" spans="1:5" ht="63">
      <c r="A495" s="58">
        <v>9990210540</v>
      </c>
      <c r="B495" s="58"/>
      <c r="C495" s="59" t="s">
        <v>199</v>
      </c>
      <c r="D495" s="48">
        <f>D496+D498</f>
        <v>264</v>
      </c>
      <c r="E495" s="48">
        <f>E496+E498</f>
        <v>264</v>
      </c>
    </row>
    <row r="496" spans="1:5" ht="51.75" customHeight="1">
      <c r="A496" s="58">
        <v>9990210540</v>
      </c>
      <c r="B496" s="58" t="s">
        <v>74</v>
      </c>
      <c r="C496" s="59" t="s">
        <v>2</v>
      </c>
      <c r="D496" s="48">
        <f>D497</f>
        <v>256.3</v>
      </c>
      <c r="E496" s="48">
        <f>E497</f>
        <v>256.3</v>
      </c>
    </row>
    <row r="497" spans="1:5" ht="31.5">
      <c r="A497" s="58">
        <v>9990210540</v>
      </c>
      <c r="B497" s="58">
        <v>120</v>
      </c>
      <c r="C497" s="178" t="s">
        <v>443</v>
      </c>
      <c r="D497" s="48">
        <f>№7!E162</f>
        <v>256.3</v>
      </c>
      <c r="E497" s="48">
        <f>№7!F162</f>
        <v>256.3</v>
      </c>
    </row>
    <row r="498" spans="1:5" ht="31.5">
      <c r="A498" s="58">
        <v>9990210540</v>
      </c>
      <c r="B498" s="58" t="s">
        <v>75</v>
      </c>
      <c r="C498" s="59" t="s">
        <v>107</v>
      </c>
      <c r="D498" s="48">
        <f>D499</f>
        <v>7.7</v>
      </c>
      <c r="E498" s="48">
        <f>E499</f>
        <v>7.7</v>
      </c>
    </row>
    <row r="499" spans="1:5" ht="31.5">
      <c r="A499" s="58">
        <v>9990210540</v>
      </c>
      <c r="B499" s="58">
        <v>240</v>
      </c>
      <c r="C499" s="178" t="s">
        <v>441</v>
      </c>
      <c r="D499" s="48">
        <f>№7!E164</f>
        <v>7.7</v>
      </c>
      <c r="E499" s="48">
        <f>№7!F164</f>
        <v>7.7</v>
      </c>
    </row>
    <row r="500" spans="1:5" ht="62.25" customHeight="1">
      <c r="A500" s="105">
        <v>9990210570</v>
      </c>
      <c r="B500" s="105"/>
      <c r="C500" s="106" t="s">
        <v>390</v>
      </c>
      <c r="D500" s="48">
        <f>D501</f>
        <v>2.6</v>
      </c>
      <c r="E500" s="48">
        <f>E501</f>
        <v>2.6</v>
      </c>
    </row>
    <row r="501" spans="1:5" ht="51.75" customHeight="1">
      <c r="A501" s="105">
        <v>9990210570</v>
      </c>
      <c r="B501" s="105" t="s">
        <v>74</v>
      </c>
      <c r="C501" s="106" t="s">
        <v>2</v>
      </c>
      <c r="D501" s="48">
        <f>D502</f>
        <v>2.6</v>
      </c>
      <c r="E501" s="48">
        <f>E502</f>
        <v>2.6</v>
      </c>
    </row>
    <row r="502" spans="1:5" ht="31.5">
      <c r="A502" s="105">
        <v>9990210570</v>
      </c>
      <c r="B502" s="105">
        <v>120</v>
      </c>
      <c r="C502" s="178" t="s">
        <v>443</v>
      </c>
      <c r="D502" s="48">
        <f>№7!E167</f>
        <v>2.6</v>
      </c>
      <c r="E502" s="48">
        <f>№7!F167</f>
        <v>2.6</v>
      </c>
    </row>
    <row r="503" spans="1:5" ht="47.25">
      <c r="A503" s="199" t="s">
        <v>470</v>
      </c>
      <c r="B503" s="199"/>
      <c r="C503" s="200" t="s">
        <v>354</v>
      </c>
      <c r="D503" s="48">
        <f>D504</f>
        <v>10.7</v>
      </c>
      <c r="E503" s="48">
        <f>E504</f>
        <v>10.7</v>
      </c>
    </row>
    <row r="504" spans="1:5" ht="49.5" customHeight="1">
      <c r="A504" s="199" t="s">
        <v>470</v>
      </c>
      <c r="B504" s="199" t="s">
        <v>74</v>
      </c>
      <c r="C504" s="200" t="s">
        <v>2</v>
      </c>
      <c r="D504" s="48">
        <f>D505</f>
        <v>10.7</v>
      </c>
      <c r="E504" s="48">
        <f>E505</f>
        <v>10.7</v>
      </c>
    </row>
    <row r="505" spans="1:5" ht="31.5">
      <c r="A505" s="199" t="s">
        <v>470</v>
      </c>
      <c r="B505" s="199">
        <v>120</v>
      </c>
      <c r="C505" s="200" t="s">
        <v>443</v>
      </c>
      <c r="D505" s="48">
        <f>№7!E74+№7!E46</f>
        <v>10.7</v>
      </c>
      <c r="E505" s="48">
        <f>№7!F74+№7!F46</f>
        <v>10.7</v>
      </c>
    </row>
    <row r="506" spans="1:5" ht="47.25">
      <c r="A506" s="58">
        <v>9990225000</v>
      </c>
      <c r="B506" s="58"/>
      <c r="C506" s="59" t="s">
        <v>139</v>
      </c>
      <c r="D506" s="48">
        <f>D507+D509+D513+D511</f>
        <v>41850.6</v>
      </c>
      <c r="E506" s="48">
        <f>E507+E509+E513+E511</f>
        <v>41815.300000000003</v>
      </c>
    </row>
    <row r="507" spans="1:5" ht="51.75" customHeight="1">
      <c r="A507" s="58">
        <v>9990225000</v>
      </c>
      <c r="B507" s="58" t="s">
        <v>74</v>
      </c>
      <c r="C507" s="59" t="s">
        <v>2</v>
      </c>
      <c r="D507" s="48">
        <f>D508</f>
        <v>39225.5</v>
      </c>
      <c r="E507" s="48">
        <f>E508</f>
        <v>39215.1</v>
      </c>
    </row>
    <row r="508" spans="1:5" ht="31.9" customHeight="1">
      <c r="A508" s="58">
        <v>9990225000</v>
      </c>
      <c r="B508" s="58">
        <v>120</v>
      </c>
      <c r="C508" s="178" t="s">
        <v>443</v>
      </c>
      <c r="D508" s="48">
        <f>№7!E718+№7!E545+№7!E170+№7!E77+№7!E49</f>
        <v>39225.5</v>
      </c>
      <c r="E508" s="48">
        <f>№7!F718+№7!F545+№7!F170+№7!F77+№7!F49</f>
        <v>39215.1</v>
      </c>
    </row>
    <row r="509" spans="1:5" ht="31.5">
      <c r="A509" s="58">
        <v>9990225000</v>
      </c>
      <c r="B509" s="58" t="s">
        <v>75</v>
      </c>
      <c r="C509" s="59" t="s">
        <v>107</v>
      </c>
      <c r="D509" s="48">
        <f>D510</f>
        <v>2279.7000000000003</v>
      </c>
      <c r="E509" s="48">
        <f>E510</f>
        <v>2254.8000000000002</v>
      </c>
    </row>
    <row r="510" spans="1:5" ht="30.6" customHeight="1">
      <c r="A510" s="58">
        <v>9990225000</v>
      </c>
      <c r="B510" s="58">
        <v>240</v>
      </c>
      <c r="C510" s="178" t="s">
        <v>441</v>
      </c>
      <c r="D510" s="48">
        <f>№7!E51+№7!E79+№7!E172+№7!E720</f>
        <v>2279.7000000000003</v>
      </c>
      <c r="E510" s="48">
        <f>№7!F51+№7!F79+№7!F172+№7!F720</f>
        <v>2254.8000000000002</v>
      </c>
    </row>
    <row r="511" spans="1:5" ht="16.5" customHeight="1">
      <c r="A511" s="124">
        <v>9990225000</v>
      </c>
      <c r="B511" s="124">
        <v>300</v>
      </c>
      <c r="C511" s="125" t="s">
        <v>80</v>
      </c>
      <c r="D511" s="48">
        <f>D512</f>
        <v>202.10000000000002</v>
      </c>
      <c r="E511" s="48">
        <f>E512</f>
        <v>202.10000000000002</v>
      </c>
    </row>
    <row r="512" spans="1:5" ht="30.6" customHeight="1">
      <c r="A512" s="124">
        <v>9990225000</v>
      </c>
      <c r="B512" s="124">
        <v>320</v>
      </c>
      <c r="C512" s="125" t="s">
        <v>121</v>
      </c>
      <c r="D512" s="48">
        <f>№7!E53+№7!E547</f>
        <v>202.10000000000002</v>
      </c>
      <c r="E512" s="48">
        <f>№7!F53+№7!F547</f>
        <v>202.10000000000002</v>
      </c>
    </row>
    <row r="513" spans="1:5">
      <c r="A513" s="58">
        <v>9990225000</v>
      </c>
      <c r="B513" s="58" t="s">
        <v>76</v>
      </c>
      <c r="C513" s="59" t="s">
        <v>77</v>
      </c>
      <c r="D513" s="48">
        <f>D514</f>
        <v>143.30000000000001</v>
      </c>
      <c r="E513" s="48">
        <f>E514</f>
        <v>143.30000000000001</v>
      </c>
    </row>
    <row r="514" spans="1:5">
      <c r="A514" s="58">
        <v>9990225000</v>
      </c>
      <c r="B514" s="58">
        <v>850</v>
      </c>
      <c r="C514" s="59" t="s">
        <v>119</v>
      </c>
      <c r="D514" s="48">
        <f>№7!E55+№7!E83</f>
        <v>143.30000000000001</v>
      </c>
      <c r="E514" s="48">
        <f>№7!F55+№7!F83</f>
        <v>143.30000000000001</v>
      </c>
    </row>
    <row r="515" spans="1:5" ht="47.25">
      <c r="A515" s="58">
        <v>9990226000</v>
      </c>
      <c r="B515" s="58"/>
      <c r="C515" s="59" t="s">
        <v>191</v>
      </c>
      <c r="D515" s="48">
        <f>D516</f>
        <v>564.4</v>
      </c>
      <c r="E515" s="48">
        <f>E516</f>
        <v>564.29999999999995</v>
      </c>
    </row>
    <row r="516" spans="1:5" ht="48.75" customHeight="1">
      <c r="A516" s="58">
        <v>9990226000</v>
      </c>
      <c r="B516" s="58" t="s">
        <v>74</v>
      </c>
      <c r="C516" s="59" t="s">
        <v>2</v>
      </c>
      <c r="D516" s="48">
        <f>D517</f>
        <v>564.4</v>
      </c>
      <c r="E516" s="48">
        <f>E517</f>
        <v>564.29999999999995</v>
      </c>
    </row>
    <row r="517" spans="1:5" ht="33" customHeight="1">
      <c r="A517" s="58">
        <v>9990226000</v>
      </c>
      <c r="B517" s="58">
        <v>120</v>
      </c>
      <c r="C517" s="59" t="s">
        <v>118</v>
      </c>
      <c r="D517" s="48">
        <f>№7!E198+№7!E175+№7!E58</f>
        <v>564.4</v>
      </c>
      <c r="E517" s="48">
        <f>№7!F198+№7!F175+№7!F58</f>
        <v>564.29999999999995</v>
      </c>
    </row>
    <row r="518" spans="1:5" ht="31.5">
      <c r="A518" s="58">
        <v>9990259300</v>
      </c>
      <c r="B518" s="58"/>
      <c r="C518" s="59" t="s">
        <v>206</v>
      </c>
      <c r="D518" s="48">
        <f>D519+D521</f>
        <v>1760.0000000000002</v>
      </c>
      <c r="E518" s="48">
        <f>E519+E521</f>
        <v>1760</v>
      </c>
    </row>
    <row r="519" spans="1:5" ht="49.5" customHeight="1">
      <c r="A519" s="58">
        <v>9990259300</v>
      </c>
      <c r="B519" s="58" t="s">
        <v>74</v>
      </c>
      <c r="C519" s="59" t="s">
        <v>2</v>
      </c>
      <c r="D519" s="48">
        <f>D520</f>
        <v>1377.8000000000002</v>
      </c>
      <c r="E519" s="48">
        <f>E520</f>
        <v>1377.8</v>
      </c>
    </row>
    <row r="520" spans="1:5" ht="33.6" customHeight="1">
      <c r="A520" s="58">
        <v>9990259300</v>
      </c>
      <c r="B520" s="58">
        <v>120</v>
      </c>
      <c r="C520" s="178" t="s">
        <v>443</v>
      </c>
      <c r="D520" s="48">
        <f>№7!E201</f>
        <v>1377.8000000000002</v>
      </c>
      <c r="E520" s="48">
        <f>№7!F201</f>
        <v>1377.8</v>
      </c>
    </row>
    <row r="521" spans="1:5" ht="31.5">
      <c r="A521" s="58">
        <v>9990259300</v>
      </c>
      <c r="B521" s="58" t="s">
        <v>75</v>
      </c>
      <c r="C521" s="59" t="s">
        <v>107</v>
      </c>
      <c r="D521" s="48">
        <f>D522</f>
        <v>382.2</v>
      </c>
      <c r="E521" s="48">
        <f>E522</f>
        <v>382.2</v>
      </c>
    </row>
    <row r="522" spans="1:5" ht="33" customHeight="1">
      <c r="A522" s="58">
        <v>9990259300</v>
      </c>
      <c r="B522" s="58">
        <v>240</v>
      </c>
      <c r="C522" s="178" t="s">
        <v>441</v>
      </c>
      <c r="D522" s="48">
        <f>№7!E203</f>
        <v>382.2</v>
      </c>
      <c r="E522" s="48">
        <f>№7!F203</f>
        <v>382.2</v>
      </c>
    </row>
    <row r="523" spans="1:5" ht="31.5">
      <c r="A523" s="58">
        <v>9990300000</v>
      </c>
      <c r="B523" s="58"/>
      <c r="C523" s="59" t="s">
        <v>204</v>
      </c>
      <c r="D523" s="48">
        <f>D524+D526+D530+D528</f>
        <v>20272.799999999996</v>
      </c>
      <c r="E523" s="48">
        <f>E524+E526+E530+E528</f>
        <v>20137.699999999997</v>
      </c>
    </row>
    <row r="524" spans="1:5" ht="45.75" customHeight="1">
      <c r="A524" s="58">
        <v>9990300000</v>
      </c>
      <c r="B524" s="58" t="s">
        <v>74</v>
      </c>
      <c r="C524" s="59" t="s">
        <v>2</v>
      </c>
      <c r="D524" s="48">
        <f>D525</f>
        <v>16135.699999999997</v>
      </c>
      <c r="E524" s="48">
        <f>E525</f>
        <v>16135.699999999999</v>
      </c>
    </row>
    <row r="525" spans="1:5">
      <c r="A525" s="58">
        <v>9990300000</v>
      </c>
      <c r="B525" s="58">
        <v>110</v>
      </c>
      <c r="C525" s="22" t="s">
        <v>205</v>
      </c>
      <c r="D525" s="48">
        <f>№7!E178+№7!E550</f>
        <v>16135.699999999997</v>
      </c>
      <c r="E525" s="48">
        <f>№7!F178+№7!F550</f>
        <v>16135.699999999999</v>
      </c>
    </row>
    <row r="526" spans="1:5" ht="31.5">
      <c r="A526" s="58">
        <v>9990300000</v>
      </c>
      <c r="B526" s="58" t="s">
        <v>75</v>
      </c>
      <c r="C526" s="59" t="s">
        <v>107</v>
      </c>
      <c r="D526" s="48">
        <f>D527</f>
        <v>4023.7999999999993</v>
      </c>
      <c r="E526" s="48">
        <f>E527</f>
        <v>3888.7</v>
      </c>
    </row>
    <row r="527" spans="1:5" ht="31.15" customHeight="1">
      <c r="A527" s="58">
        <v>9990300000</v>
      </c>
      <c r="B527" s="58">
        <v>240</v>
      </c>
      <c r="C527" s="178" t="s">
        <v>441</v>
      </c>
      <c r="D527" s="48">
        <f>№7!E552+№7!E180</f>
        <v>4023.7999999999993</v>
      </c>
      <c r="E527" s="48">
        <f>№7!F552+№7!F180</f>
        <v>3888.7</v>
      </c>
    </row>
    <row r="528" spans="1:5" ht="18" customHeight="1">
      <c r="A528" s="191">
        <v>9990300000</v>
      </c>
      <c r="B528" s="191">
        <v>300</v>
      </c>
      <c r="C528" s="192" t="s">
        <v>80</v>
      </c>
      <c r="D528" s="48">
        <f>D529</f>
        <v>60</v>
      </c>
      <c r="E528" s="48">
        <f>E529</f>
        <v>60</v>
      </c>
    </row>
    <row r="529" spans="1:5" ht="31.15" customHeight="1">
      <c r="A529" s="191">
        <v>9990300000</v>
      </c>
      <c r="B529" s="191">
        <v>320</v>
      </c>
      <c r="C529" s="192" t="s">
        <v>121</v>
      </c>
      <c r="D529" s="48">
        <f>№7!E182+№7!E81</f>
        <v>60</v>
      </c>
      <c r="E529" s="48">
        <f>№7!F182+№7!F81</f>
        <v>60</v>
      </c>
    </row>
    <row r="530" spans="1:5">
      <c r="A530" s="58">
        <v>9990300000</v>
      </c>
      <c r="B530" s="58" t="s">
        <v>76</v>
      </c>
      <c r="C530" s="59" t="s">
        <v>77</v>
      </c>
      <c r="D530" s="48">
        <f>D531</f>
        <v>53.300000000000026</v>
      </c>
      <c r="E530" s="48">
        <f>E531</f>
        <v>53.3</v>
      </c>
    </row>
    <row r="531" spans="1:5">
      <c r="A531" s="58">
        <v>9990300000</v>
      </c>
      <c r="B531" s="58">
        <v>850</v>
      </c>
      <c r="C531" s="200" t="s">
        <v>119</v>
      </c>
      <c r="D531" s="48">
        <f>№7!E184+№7!E554</f>
        <v>53.300000000000026</v>
      </c>
      <c r="E531" s="48">
        <f>№7!F184+№7!F554</f>
        <v>53.3</v>
      </c>
    </row>
    <row r="532" spans="1:5" ht="47.25">
      <c r="A532" s="199">
        <v>9990310200</v>
      </c>
      <c r="B532" s="199"/>
      <c r="C532" s="200" t="s">
        <v>349</v>
      </c>
      <c r="D532" s="48">
        <f>D533</f>
        <v>298.10000000000002</v>
      </c>
      <c r="E532" s="48">
        <f>E533</f>
        <v>298.10000000000002</v>
      </c>
    </row>
    <row r="533" spans="1:5" ht="48.75" customHeight="1">
      <c r="A533" s="199">
        <v>9990310200</v>
      </c>
      <c r="B533" s="199" t="s">
        <v>74</v>
      </c>
      <c r="C533" s="200" t="s">
        <v>2</v>
      </c>
      <c r="D533" s="48">
        <f>D534</f>
        <v>298.10000000000002</v>
      </c>
      <c r="E533" s="48">
        <f>E534</f>
        <v>298.10000000000002</v>
      </c>
    </row>
    <row r="534" spans="1:5">
      <c r="A534" s="199">
        <v>9990310200</v>
      </c>
      <c r="B534" s="199">
        <v>110</v>
      </c>
      <c r="C534" s="22" t="s">
        <v>205</v>
      </c>
      <c r="D534" s="48">
        <f>№7!E187</f>
        <v>298.10000000000002</v>
      </c>
      <c r="E534" s="48">
        <f>№7!F187</f>
        <v>298.10000000000002</v>
      </c>
    </row>
    <row r="535" spans="1:5" ht="47.25">
      <c r="A535" s="199" t="s">
        <v>469</v>
      </c>
      <c r="B535" s="199"/>
      <c r="C535" s="204" t="s">
        <v>354</v>
      </c>
      <c r="D535" s="48">
        <f>D536</f>
        <v>29.8</v>
      </c>
      <c r="E535" s="48">
        <f>E536</f>
        <v>29.8</v>
      </c>
    </row>
    <row r="536" spans="1:5" ht="49.5" customHeight="1">
      <c r="A536" s="199" t="s">
        <v>469</v>
      </c>
      <c r="B536" s="199" t="s">
        <v>74</v>
      </c>
      <c r="C536" s="200" t="s">
        <v>2</v>
      </c>
      <c r="D536" s="48">
        <f>D537</f>
        <v>29.8</v>
      </c>
      <c r="E536" s="48">
        <f>E537</f>
        <v>29.8</v>
      </c>
    </row>
    <row r="537" spans="1:5">
      <c r="A537" s="199" t="s">
        <v>469</v>
      </c>
      <c r="B537" s="199">
        <v>110</v>
      </c>
      <c r="C537" s="22" t="s">
        <v>205</v>
      </c>
      <c r="D537" s="48">
        <f>№7!E190</f>
        <v>29.8</v>
      </c>
      <c r="E537" s="48">
        <f>№7!F190</f>
        <v>29.8</v>
      </c>
    </row>
  </sheetData>
  <mergeCells count="3">
    <mergeCell ref="A1:E1"/>
    <mergeCell ref="A2:E2"/>
    <mergeCell ref="D3:E3"/>
  </mergeCells>
  <pageMargins left="0.78740157480314965" right="0.19685039370078741" top="0.19685039370078741" bottom="0.19685039370078741" header="0.31496062992125984" footer="0.31496062992125984"/>
  <pageSetup paperSize="9" scale="75" fitToHeight="16"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9"/>
  <sheetViews>
    <sheetView workbookViewId="0">
      <selection activeCell="A8" sqref="A8"/>
    </sheetView>
  </sheetViews>
  <sheetFormatPr defaultColWidth="8.85546875" defaultRowHeight="15.75"/>
  <cols>
    <col min="1" max="1" width="55.28515625" style="4" customWidth="1"/>
    <col min="2" max="2" width="11.85546875" style="4" customWidth="1"/>
    <col min="3" max="3" width="12" style="4" customWidth="1"/>
    <col min="4" max="4" width="9.7109375" style="4" customWidth="1"/>
    <col min="5" max="5" width="53.28515625" style="4" customWidth="1"/>
    <col min="6" max="6" width="6.28515625" style="4" customWidth="1"/>
    <col min="7" max="8" width="12.85546875" style="4" customWidth="1"/>
    <col min="9" max="9" width="12.28515625" style="4" customWidth="1"/>
    <col min="10" max="16384" width="8.85546875" style="4"/>
  </cols>
  <sheetData>
    <row r="1" spans="1:9" ht="46.9" customHeight="1">
      <c r="A1" s="185" t="s">
        <v>72</v>
      </c>
      <c r="B1" s="185" t="s">
        <v>72</v>
      </c>
      <c r="C1" s="185" t="s">
        <v>72</v>
      </c>
      <c r="D1" s="185" t="s">
        <v>72</v>
      </c>
      <c r="E1" s="185" t="s">
        <v>72</v>
      </c>
      <c r="F1" s="343" t="s">
        <v>883</v>
      </c>
      <c r="G1" s="343"/>
      <c r="H1" s="343"/>
      <c r="I1" s="343"/>
    </row>
    <row r="2" spans="1:9" ht="28.15" customHeight="1">
      <c r="A2" s="344" t="s">
        <v>481</v>
      </c>
      <c r="B2" s="344"/>
      <c r="C2" s="344"/>
      <c r="D2" s="344"/>
      <c r="E2" s="344"/>
      <c r="F2" s="344"/>
      <c r="G2" s="344"/>
      <c r="H2" s="344"/>
      <c r="I2" s="344"/>
    </row>
    <row r="3" spans="1:9" ht="30.75" customHeight="1">
      <c r="A3" s="349" t="s">
        <v>448</v>
      </c>
      <c r="B3" s="349" t="s">
        <v>449</v>
      </c>
      <c r="C3" s="349"/>
      <c r="D3" s="349"/>
      <c r="E3" s="349"/>
      <c r="F3" s="349" t="s">
        <v>450</v>
      </c>
      <c r="G3" s="350"/>
      <c r="H3" s="351" t="s">
        <v>473</v>
      </c>
      <c r="I3" s="351" t="s">
        <v>475</v>
      </c>
    </row>
    <row r="4" spans="1:9" ht="16.5" customHeight="1">
      <c r="A4" s="349" t="s">
        <v>448</v>
      </c>
      <c r="B4" s="189" t="s">
        <v>451</v>
      </c>
      <c r="C4" s="189" t="s">
        <v>452</v>
      </c>
      <c r="D4" s="189" t="s">
        <v>453</v>
      </c>
      <c r="E4" s="189" t="s">
        <v>454</v>
      </c>
      <c r="F4" s="189" t="s">
        <v>41</v>
      </c>
      <c r="G4" s="221" t="s">
        <v>455</v>
      </c>
      <c r="H4" s="351"/>
      <c r="I4" s="351"/>
    </row>
    <row r="5" spans="1:9" ht="15.75" customHeight="1">
      <c r="A5" s="189" t="s">
        <v>5</v>
      </c>
      <c r="B5" s="189" t="s">
        <v>83</v>
      </c>
      <c r="C5" s="189" t="s">
        <v>84</v>
      </c>
      <c r="D5" s="189" t="s">
        <v>85</v>
      </c>
      <c r="E5" s="189" t="s">
        <v>86</v>
      </c>
      <c r="F5" s="189" t="s">
        <v>87</v>
      </c>
      <c r="G5" s="221" t="s">
        <v>106</v>
      </c>
      <c r="H5" s="211">
        <v>8</v>
      </c>
      <c r="I5" s="211">
        <v>9</v>
      </c>
    </row>
    <row r="6" spans="1:9" ht="36" customHeight="1">
      <c r="A6" s="30" t="s">
        <v>169</v>
      </c>
      <c r="B6" s="15" t="s">
        <v>456</v>
      </c>
      <c r="C6" s="189" t="s">
        <v>457</v>
      </c>
      <c r="D6" s="189" t="s">
        <v>458</v>
      </c>
      <c r="E6" s="15" t="s">
        <v>459</v>
      </c>
      <c r="F6" s="189" t="s">
        <v>43</v>
      </c>
      <c r="G6" s="222" t="s">
        <v>266</v>
      </c>
      <c r="H6" s="21">
        <f>№7!E524</f>
        <v>36</v>
      </c>
      <c r="I6" s="21">
        <f>№7!F524</f>
        <v>36</v>
      </c>
    </row>
    <row r="7" spans="1:9" ht="82.5" customHeight="1">
      <c r="A7" s="15" t="s">
        <v>73</v>
      </c>
      <c r="B7" s="15" t="s">
        <v>456</v>
      </c>
      <c r="C7" s="189" t="s">
        <v>460</v>
      </c>
      <c r="D7" s="189" t="s">
        <v>461</v>
      </c>
      <c r="E7" s="15" t="s">
        <v>462</v>
      </c>
      <c r="F7" s="189" t="s">
        <v>59</v>
      </c>
      <c r="G7" s="186">
        <v>1240420390</v>
      </c>
      <c r="H7" s="223">
        <f>№7!E613</f>
        <v>1270.7</v>
      </c>
      <c r="I7" s="223">
        <f>№7!F613</f>
        <v>1270.7</v>
      </c>
    </row>
    <row r="8" spans="1:9" ht="34.5" customHeight="1">
      <c r="A8" s="15" t="s">
        <v>255</v>
      </c>
      <c r="B8" s="15" t="s">
        <v>456</v>
      </c>
      <c r="C8" s="189" t="s">
        <v>463</v>
      </c>
      <c r="D8" s="189" t="s">
        <v>464</v>
      </c>
      <c r="E8" s="15" t="s">
        <v>465</v>
      </c>
      <c r="F8" s="189" t="s">
        <v>45</v>
      </c>
      <c r="G8" s="188">
        <v>1240220350</v>
      </c>
      <c r="H8" s="8">
        <f>№7!E625</f>
        <v>102.1</v>
      </c>
      <c r="I8" s="8">
        <f>№7!F625</f>
        <v>102.1</v>
      </c>
    </row>
    <row r="9" spans="1:9" ht="16.5" customHeight="1">
      <c r="A9" s="6" t="s">
        <v>466</v>
      </c>
      <c r="B9" s="50" t="s">
        <v>72</v>
      </c>
      <c r="C9" s="50" t="s">
        <v>72</v>
      </c>
      <c r="D9" s="50" t="s">
        <v>72</v>
      </c>
      <c r="E9" s="50" t="s">
        <v>72</v>
      </c>
      <c r="F9" s="50" t="s">
        <v>72</v>
      </c>
      <c r="G9" s="50" t="s">
        <v>72</v>
      </c>
      <c r="H9" s="7">
        <f>H6+H7+H8</f>
        <v>1408.8</v>
      </c>
      <c r="I9" s="7">
        <f t="shared" ref="I9" si="0">I6+I7+I8</f>
        <v>1408.8</v>
      </c>
    </row>
  </sheetData>
  <mergeCells count="7">
    <mergeCell ref="F1:I1"/>
    <mergeCell ref="A2:I2"/>
    <mergeCell ref="A3:A4"/>
    <mergeCell ref="B3:E3"/>
    <mergeCell ref="F3:G3"/>
    <mergeCell ref="H3:H4"/>
    <mergeCell ref="I3:I4"/>
  </mergeCells>
  <pageMargins left="0.39370078740157483" right="0.39370078740157483" top="0.98425196850393704" bottom="0.19685039370078741" header="0.31496062992125984" footer="0.31496062992125984"/>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3</vt:i4>
      </vt:variant>
    </vt:vector>
  </HeadingPairs>
  <TitlesOfParts>
    <vt:vector size="14" baseType="lpstr">
      <vt:lpstr>№1</vt:lpstr>
      <vt:lpstr>№2</vt:lpstr>
      <vt:lpstr>№3</vt:lpstr>
      <vt:lpstr>№4</vt:lpstr>
      <vt:lpstr>№5</vt:lpstr>
      <vt:lpstr>№6</vt:lpstr>
      <vt:lpstr>№7</vt:lpstr>
      <vt:lpstr>№ 8</vt:lpstr>
      <vt:lpstr>№9</vt:lpstr>
      <vt:lpstr>№ 10</vt:lpstr>
      <vt:lpstr>№11</vt:lpstr>
      <vt:lpstr>'№ 10'!Область_печати</vt:lpstr>
      <vt:lpstr>№5!Область_печати</vt:lpstr>
      <vt:lpstr>№6!Область_печати</vt:lpstr>
    </vt:vector>
  </TitlesOfParts>
  <Company>ОФ и ЭА Администрация города Торжка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Маслобойщикова</dc:creator>
  <cp:lastModifiedBy>Vershinskaya</cp:lastModifiedBy>
  <cp:lastPrinted>2019-05-29T10:47:09Z</cp:lastPrinted>
  <dcterms:created xsi:type="dcterms:W3CDTF">2007-11-30T05:39:28Z</dcterms:created>
  <dcterms:modified xsi:type="dcterms:W3CDTF">2019-05-29T10:48:36Z</dcterms:modified>
</cp:coreProperties>
</file>