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19440" windowHeight="12135" firstSheet="5" activeTab="10"/>
  </bookViews>
  <sheets>
    <sheet name="№ 1" sheetId="176" r:id="rId1"/>
    <sheet name="№2" sheetId="183" r:id="rId2"/>
    <sheet name="№3" sheetId="185" r:id="rId3"/>
    <sheet name="№4" sheetId="186" r:id="rId4"/>
    <sheet name="№5" sheetId="143" r:id="rId5"/>
    <sheet name="№ 6" sheetId="154" r:id="rId6"/>
    <sheet name="№ 7" sheetId="155" r:id="rId7"/>
    <sheet name="№ 8" sheetId="147" r:id="rId8"/>
    <sheet name="№9" sheetId="181" r:id="rId9"/>
    <sheet name="№10" sheetId="175" r:id="rId10"/>
    <sheet name="№ 11" sheetId="184" r:id="rId11"/>
  </sheets>
  <definedNames>
    <definedName name="_xlnm._FilterDatabase" localSheetId="6" hidden="1">'№ 7'!$A$4:$J$4</definedName>
    <definedName name="_xlnm.Print_Area" localSheetId="5">'№ 6'!$A$1:$G$716</definedName>
    <definedName name="_xlnm.Print_Area" localSheetId="9">'№10'!$A$1:$L$20</definedName>
    <definedName name="_xlnm.Print_Area" localSheetId="3">'№4'!$A$1:$D$150</definedName>
    <definedName name="_xlnm.Print_Area" localSheetId="4">'№5'!$A$1:$D$47</definedName>
  </definedNames>
  <calcPr calcId="124519"/>
</workbook>
</file>

<file path=xl/sharedStrings.xml><?xml version="1.0" encoding="utf-8"?>
<sst xmlns="http://schemas.openxmlformats.org/spreadsheetml/2006/main" count="5909" uniqueCount="1065">
  <si>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</si>
  <si>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</si>
  <si>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</si>
  <si>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</si>
  <si>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</si>
  <si>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</si>
  <si>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</si>
  <si>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</si>
  <si>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</si>
  <si>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</si>
  <si>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</si>
  <si>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</si>
  <si>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</si>
  <si>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</si>
  <si>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</si>
  <si>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</si>
  <si>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</si>
  <si>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</si>
  <si>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</si>
  <si>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</si>
  <si>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</si>
  <si>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</si>
  <si>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</si>
  <si>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</si>
  <si>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</si>
  <si>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</si>
  <si>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</si>
  <si>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</si>
  <si>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</si>
  <si>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</si>
  <si>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</si>
  <si>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</si>
  <si>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</si>
  <si>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</si>
  <si>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</si>
  <si>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</si>
  <si>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</si>
  <si>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</si>
  <si>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</si>
  <si>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</si>
  <si>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</si>
  <si>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</si>
  <si>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</si>
  <si>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</si>
  <si>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</si>
  <si>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</si>
  <si>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</si>
  <si>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</si>
  <si>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</si>
  <si>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</si>
  <si>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</si>
  <si>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</si>
  <si>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</si>
  <si>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</si>
  <si>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</si>
  <si>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</si>
  <si>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</si>
  <si>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</si>
  <si>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</si>
  <si>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</si>
  <si>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</si>
  <si>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</si>
  <si>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</si>
  <si>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</si>
  <si>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</si>
  <si>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</si>
  <si>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</si>
  <si>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</si>
  <si>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</si>
  <si>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</si>
  <si>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</si>
  <si>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</si>
  <si>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</si>
  <si>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</si>
  <si>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</si>
  <si>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</si>
  <si>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</si>
  <si>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</si>
  <si>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</si>
  <si>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</si>
  <si>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</si>
  <si>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</si>
  <si>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</si>
  <si>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</si>
  <si>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</si>
  <si>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</si>
  <si>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</si>
  <si>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</si>
  <si>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</si>
  <si>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</si>
  <si>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</si>
  <si>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</si>
  <si>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</si>
  <si>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</si>
  <si>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</si>
  <si>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</si>
  <si>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</si>
  <si>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</si>
  <si>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</si>
  <si>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</si>
  <si>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>0401</t>
  </si>
  <si>
    <t>Общеэкономические вопросы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</si>
  <si>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</si>
  <si>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</si>
  <si>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</si>
  <si>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</si>
  <si>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</si>
  <si>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</si>
  <si>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</si>
  <si>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</si>
  <si>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</si>
  <si>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</si>
  <si>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</si>
  <si>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</si>
  <si>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</si>
  <si>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</si>
  <si>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</si>
  <si>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</si>
  <si>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</si>
  <si>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</si>
  <si>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</si>
  <si>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</si>
  <si>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</si>
  <si>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</si>
  <si>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</si>
  <si>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</si>
  <si>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</si>
  <si>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</si>
  <si>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</si>
  <si>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</si>
  <si>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</si>
  <si>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</si>
  <si>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</si>
  <si>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</si>
  <si>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</si>
  <si>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</si>
  <si>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</si>
  <si>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Восстановление воинских захоронений на условиях софинансирования</t>
  </si>
  <si>
    <t>13202S0280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</si>
  <si>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</si>
  <si>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</si>
  <si>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</si>
  <si>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</si>
  <si>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</si>
  <si>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</si>
  <si>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</si>
  <si>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</si>
  <si>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</si>
  <si>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</si>
  <si>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</si>
  <si>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</si>
  <si>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</si>
  <si>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</si>
  <si>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</si>
  <si>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</si>
  <si>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</si>
  <si>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</si>
  <si>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</si>
  <si>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</si>
  <si>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</si>
  <si>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</si>
  <si>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</si>
  <si>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Обеспечение деятельности исполнительно-распорядительного органа местного самоуправления на исполнение переданных государственных полномочий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</si>
  <si>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</si>
  <si>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</si>
  <si>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</si>
  <si>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</si>
  <si>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</si>
  <si>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Иные выплаты населению</t>
  </si>
  <si>
    <t>360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</si>
  <si>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</si>
  <si>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</si>
  <si>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</si>
  <si>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</si>
  <si>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</si>
  <si>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</si>
  <si>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</si>
  <si>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</si>
  <si>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</si>
  <si>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</si>
  <si>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</si>
  <si>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</si>
  <si>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</si>
  <si>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</si>
  <si>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</si>
  <si>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</si>
  <si>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</si>
  <si>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</si>
  <si>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</si>
  <si>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Организация обеспечения учащихся начальных классов муниципальных общеобразовательных учреждений горячим питанием на условиях софинансирования</t>
  </si>
  <si>
    <t xml:space="preserve">11103S0230  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</si>
  <si>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</si>
  <si>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</si>
  <si>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</si>
  <si>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</si>
  <si>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</si>
  <si>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</si>
  <si>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</si>
  <si>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</si>
  <si>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</si>
  <si>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</si>
  <si>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</si>
  <si>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</si>
  <si>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</si>
  <si>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</si>
  <si>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</si>
  <si>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</si>
  <si>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</si>
  <si>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Мероприятие "Оказание муниципальных услуг, выполнение работ муниципальными учреждениями в целях содействия развитию предпринимательства и туризма"</t>
  </si>
  <si>
    <t>Подпрограмма "Организация благоустройства территории города"</t>
  </si>
  <si>
    <r>
      <t>Мероприятие</t>
    </r>
    <r>
      <rPr>
        <b/>
        <sz val="12"/>
        <rFont val="Times New Roman"/>
        <family val="1"/>
      </rPr>
      <t xml:space="preserve">  "</t>
    </r>
    <r>
      <rPr>
        <sz val="12"/>
        <rFont val="Times New Roman"/>
        <family val="1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</si>
  <si>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</si>
  <si>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</si>
  <si>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</si>
  <si>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</si>
  <si>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</si>
  <si>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</si>
  <si>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</si>
  <si>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</si>
  <si>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</si>
  <si>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</si>
  <si>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</si>
  <si>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</si>
  <si>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</si>
  <si>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</si>
  <si>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</si>
  <si>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</si>
  <si>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</si>
  <si>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</si>
  <si>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</si>
  <si>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</si>
  <si>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</si>
  <si>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</si>
  <si>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</si>
  <si>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</si>
  <si>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</si>
  <si>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</si>
  <si>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</si>
  <si>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</si>
  <si>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</si>
  <si>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</si>
  <si>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</si>
  <si>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</si>
  <si>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</si>
  <si>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</si>
  <si>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</si>
  <si>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</si>
  <si>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</si>
  <si>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</si>
  <si>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</si>
  <si>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Укрепление материально-технической базы муниципальных общеобразовательных учреждений на условиях софинансирования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</si>
  <si>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</si>
  <si>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</si>
  <si>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</si>
  <si>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</si>
  <si>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</si>
  <si>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 xml:space="preserve">12404L4970  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</si>
  <si>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</si>
  <si>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</si>
  <si>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</si>
  <si>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</si>
  <si>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</si>
  <si>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Подпрограмма "Капитальное строительство объектов социальной инфраструктуры"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</si>
  <si>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</si>
  <si>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</si>
  <si>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</si>
  <si>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</si>
  <si>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</si>
  <si>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</si>
  <si>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</si>
  <si>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</si>
  <si>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>Мероприятие "Реализация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</si>
  <si>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</si>
  <si>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>Строительство, реконструкция муниципальных объектов дошкольного образования на условиях софинансирования</t>
  </si>
  <si>
    <t>125P200000</t>
  </si>
  <si>
    <t>125P2S0150</t>
  </si>
  <si>
    <t>131F200000</t>
  </si>
  <si>
    <t>131F255550</t>
  </si>
  <si>
    <t>16202R0820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</si>
  <si>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</si>
  <si>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125P252320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</si>
  <si>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</si>
  <si>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</si>
  <si>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</si>
  <si>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</si>
  <si>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</si>
  <si>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</si>
  <si>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</si>
  <si>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15201S0440</t>
  </si>
  <si>
    <t>131F220100</t>
  </si>
  <si>
    <t>142R3S1090</t>
  </si>
  <si>
    <t>Проектирование, строительство и реконструкция объектов дорожного хозяйства</t>
  </si>
  <si>
    <r>
      <t>Мероприятие  "Проектирование, строительство и реконструкция объектов дорожного хозяйства</t>
    </r>
    <r>
      <rPr>
        <sz val="12"/>
        <rFont val="Times New Roman"/>
        <family val="1"/>
      </rPr>
      <t>"</t>
    </r>
  </si>
  <si>
    <t>0502</t>
  </si>
  <si>
    <t>Коммунальное хозяйство</t>
  </si>
  <si>
    <t>Подпрограмма "Развитие коммунальной инфраструктуры"</t>
  </si>
  <si>
    <t>Мероприятие  "Реализация мероприятий по проектированию, строительству и реконструкции объектов теплоснабжения"</t>
  </si>
  <si>
    <t>Проектирование, строительство и реконструкция объектов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</si>
  <si>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</si>
  <si>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</si>
  <si>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</si>
  <si>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</si>
  <si>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>142R300000</t>
  </si>
  <si>
    <t>Мероприятие "Реализация федерального проекта "Безопасность дорожного движения" в рамках национального проекта "Безопасные и качественные автомобильные дороги"</t>
  </si>
  <si>
    <t>142R311090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</si>
  <si>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</si>
  <si>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</si>
  <si>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</si>
  <si>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</si>
  <si>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11201S0690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</si>
  <si>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</si>
  <si>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12101S0680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</si>
  <si>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</si>
  <si>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 xml:space="preserve">12201S0680   </t>
  </si>
  <si>
    <t>Приобретение и установка детских игровых комплексов</t>
  </si>
  <si>
    <t>Подпрограмма "Обеспечение безопасности муниципальных учреждений"</t>
  </si>
  <si>
    <t>Мероприятие "Обустройство мест отдыха детей на территории города"</t>
  </si>
  <si>
    <t>Организация обеспечения учащихся начальных классов муниципальных общеобразовательных учреждений горячим питанием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</si>
  <si>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</si>
  <si>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11107S0440  </t>
  </si>
  <si>
    <t>1110720020</t>
  </si>
  <si>
    <t>Проведение капитального ремонта и ремонта муниципальными учреждениями</t>
  </si>
  <si>
    <t>125P210150</t>
  </si>
  <si>
    <t>Строительство, реконструкция муниципальных объектов дошкольного образования на условиях софинансирования за счет субсидии из областного бюджета</t>
  </si>
  <si>
    <t xml:space="preserve">Мероприятие "Проведение капитального ремонта и ремонта объектов недвижимого имущества и (или) особо ценного движимого имущества муниципальными организациями, реализующими программы дополнительного образования 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</si>
  <si>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</si>
  <si>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Приобретение муниципальными учреждениями оборудования и других основных средств</t>
  </si>
  <si>
    <t>125P220100</t>
  </si>
  <si>
    <t>Проектирование муниципальных объектов дошкольного образования</t>
  </si>
  <si>
    <t>14102S1050</t>
  </si>
  <si>
    <t xml:space="preserve">Капитальный ремонт и ремонт улично-дорожной сети города Торжка на условиях софинансирования </t>
  </si>
  <si>
    <t>14103S1020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</si>
  <si>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</si>
  <si>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Приобретение и установка плоскостных спортивных сооружений и оборудования на плоскостные спортивные сооружения на условиях софинансирования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</si>
  <si>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</si>
  <si>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</si>
  <si>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</si>
  <si>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</si>
  <si>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</si>
  <si>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</si>
  <si>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</si>
  <si>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</si>
  <si>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</si>
  <si>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</si>
  <si>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Мероприятие "Реализация регионального проекта "Спорт - норма жизни", национального проекта "Демография"</t>
  </si>
  <si>
    <t>126P500000</t>
  </si>
  <si>
    <t xml:space="preserve">126P5S0480  </t>
  </si>
  <si>
    <t>123Р500000</t>
  </si>
  <si>
    <t xml:space="preserve">123Р5S0400  </t>
  </si>
  <si>
    <t>Установка комплектов спортивного оборудования для малых спортивных площадок</t>
  </si>
  <si>
    <t>123Р520110</t>
  </si>
  <si>
    <t>Укрепление материально-технической базы муниципальных общеобразовательных учреждений за счет субсидии из областного бюджета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</si>
  <si>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</si>
  <si>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 xml:space="preserve">Адресная инвестиционная программа </t>
  </si>
  <si>
    <t>№ п/п</t>
  </si>
  <si>
    <t xml:space="preserve">Наименование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</si>
  <si>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</si>
  <si>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</si>
  <si>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</si>
  <si>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</si>
  <si>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 xml:space="preserve">1. </t>
  </si>
  <si>
    <t>х</t>
  </si>
  <si>
    <t>1.1.</t>
  </si>
  <si>
    <t>1.1.1.</t>
  </si>
  <si>
    <t>Строительство подъездной дороги к детскому саду по ул. Старицкая в г. Торжок (разработка проектной документации и СМР)</t>
  </si>
  <si>
    <t xml:space="preserve">Администрация муниципального образования город Торжок </t>
  </si>
  <si>
    <t xml:space="preserve">2. </t>
  </si>
  <si>
    <t>2.1.</t>
  </si>
  <si>
    <t>2.1.1.</t>
  </si>
  <si>
    <t>2.1.2.</t>
  </si>
  <si>
    <t xml:space="preserve">3. </t>
  </si>
  <si>
    <t>3.1.</t>
  </si>
  <si>
    <t>3.1.1.</t>
  </si>
  <si>
    <t>Строительство детского сада в г.Торжок Тверской области</t>
  </si>
  <si>
    <t xml:space="preserve">4. </t>
  </si>
  <si>
    <t>4.1.</t>
  </si>
  <si>
    <t>4.1.1.</t>
  </si>
  <si>
    <t>Приобретение в муниципальную собственность жилых помещений</t>
  </si>
  <si>
    <t xml:space="preserve">126P510480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</si>
  <si>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</si>
  <si>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>Санитарная уборка территорий города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</si>
  <si>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</si>
  <si>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</si>
  <si>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142R320110</t>
  </si>
  <si>
    <t>Мероприятие "Строительство, реконструкция муниципальных объектов спортивной направленности"</t>
  </si>
  <si>
    <t>Проектирование, строительство объектов спортивной направленности муниципальными учреждениями</t>
  </si>
  <si>
    <t>Мероприятие "Реализация мероприятий по проектированию, строительству и реконструкции объектов водоснабжения"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</si>
  <si>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</si>
  <si>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Приложение 1  </t>
  </si>
  <si>
    <t xml:space="preserve">к решению Торжокской городской </t>
  </si>
  <si>
    <t>Источники  финансирования  дефицита  бюджета</t>
  </si>
  <si>
    <t>Код БК РФ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</si>
  <si>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</si>
  <si>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</si>
  <si>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</si>
  <si>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 других бюджетов бюджетной системы Российской Федерации в валюте Российской Федерации</t>
  </si>
  <si>
    <t>000 01 03 01 00 04 0002 710</t>
  </si>
  <si>
    <t>Получение кредитов за счет средств федерального бюджета на пополнение остатков средств на счетах местных бюджетов</t>
  </si>
  <si>
    <t>000 01 03 01 00 00 0000 800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</si>
  <si>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</si>
  <si>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000 01 03 01 00 04 0001 810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</si>
  <si>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</si>
  <si>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000 01 03 01 00 04 0002 810</t>
  </si>
  <si>
    <t>Погашение бюджетных кредитов, полученных за счет средств федерального бюджета на пополнение остатков средств на счетах местных бюджетов</t>
  </si>
  <si>
    <t>000 01 05 00 00 00 0000 000</t>
  </si>
  <si>
    <t>Изменение остатков средств на счетах 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</si>
  <si>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</si>
  <si>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</si>
  <si>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</si>
  <si>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</si>
  <si>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</si>
  <si>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</si>
  <si>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</si>
  <si>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</si>
  <si>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</si>
  <si>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</si>
  <si>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</si>
  <si>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</si>
  <si>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</si>
  <si>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 xml:space="preserve">123Р510400  </t>
  </si>
  <si>
    <t>Приобретение и установка плоскостных спортивных сооружений и оборудования на плоскостные спортивные сооружения за счет субсидии из областного бюджета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</si>
  <si>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</si>
  <si>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Мероприятие "Проведение независимой оценки качества оказания услуг муниципальными учреждениями образования"</t>
  </si>
  <si>
    <t xml:space="preserve">Проведение независимой оценки качества оказания услуг муниципальными учреждениями </t>
  </si>
  <si>
    <t xml:space="preserve">11103L3040  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</si>
  <si>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</si>
  <si>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</si>
  <si>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</si>
  <si>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</si>
  <si>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125P220200</t>
  </si>
  <si>
    <t>Строительство, реконструкция муниципальных объектов дошкольного образования</t>
  </si>
  <si>
    <t>Участие физических и юридических лиц в благоустройстве  территории города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</si>
  <si>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</si>
  <si>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</si>
  <si>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000 01 03 01 00 04 0001 710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</si>
  <si>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</si>
  <si>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Комитет по управлению имуществом муниципального образования городской округ город Торжок Тверской области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</si>
  <si>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</si>
  <si>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</si>
  <si>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</si>
  <si>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вид</t>
  </si>
  <si>
    <t>дата</t>
  </si>
  <si>
    <t>номер</t>
  </si>
  <si>
    <t>наименование</t>
  </si>
  <si>
    <t>ЦСР</t>
  </si>
  <si>
    <t>Решение</t>
  </si>
  <si>
    <t>26.06.2013</t>
  </si>
  <si>
    <t>186</t>
  </si>
  <si>
    <t>Об утверждении Положения об именных стипендиях Главы города Торжка</t>
  </si>
  <si>
    <t>О Положении о порядке назначения и выплаты пенсии за выслугу лет к страховой пенсии по старости (инвалидности) лицам, замещавшим должности муниципальной службы муниципального образования город Торжок</t>
  </si>
  <si>
    <t>24.04.2014</t>
  </si>
  <si>
    <t>248</t>
  </si>
  <si>
    <t>О Положении о звании "Почетный гражданин города Торжка"</t>
  </si>
  <si>
    <t>Итого:</t>
  </si>
  <si>
    <t>1520120180</t>
  </si>
  <si>
    <t>Установка (расширение) единых функциональных систем в муниципальных учреждениях</t>
  </si>
  <si>
    <t xml:space="preserve">муниципального образования город Торжок за 2020 год </t>
  </si>
  <si>
    <t>Утверждено решением о бюджете</t>
  </si>
  <si>
    <t>Кассовое исполнение</t>
  </si>
  <si>
    <t>к решению Торжокской городской Думы</t>
  </si>
  <si>
    <t>Источники  финансирования  дефицита  бюджета муниципального образования город Торжок</t>
  </si>
  <si>
    <t xml:space="preserve">тыс. руб. 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</si>
  <si>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</si>
  <si>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</si>
  <si>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</si>
  <si>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 xml:space="preserve"> 01 03 01 00 04 0001 710</t>
  </si>
  <si>
    <t xml:space="preserve"> 01 03 01 00 04 0002 710</t>
  </si>
  <si>
    <t xml:space="preserve"> 01 03 01 00 04 0002 810</t>
  </si>
  <si>
    <t xml:space="preserve"> 01 05 02 01 04 0000 510</t>
  </si>
  <si>
    <t xml:space="preserve"> 01 05 02 01 04 0000 610</t>
  </si>
  <si>
    <t xml:space="preserve">по кодам классификации источников финансирования дефицитов бюджетов  за 2020 год </t>
  </si>
  <si>
    <t xml:space="preserve"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за 2020 год </t>
  </si>
  <si>
    <t>тыс. руб.</t>
  </si>
  <si>
    <t xml:space="preserve"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2020 год 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</si>
  <si>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за 2020 год </t>
    </r>
  </si>
  <si>
    <t xml:space="preserve">Общий объем бюджетных ассигнований, направляемых  на исполнение публичных нормативных обязательств муниципального образования город Торжок
 за 2020 год </t>
  </si>
  <si>
    <t>Лимит местного бюджета</t>
  </si>
  <si>
    <t xml:space="preserve">к решению Торжокской городской Думы     </t>
  </si>
  <si>
    <t>1. Привлечение заёмных средств:</t>
  </si>
  <si>
    <t>№
 п/п</t>
  </si>
  <si>
    <t>источники</t>
  </si>
  <si>
    <t>Бюджетные кредиты, полученные из областного бюджета</t>
  </si>
  <si>
    <t>Бюджетные кредиты, полученные  за счет средств федерального бюджета на пополнение остатков средств на счетах местных бюджетов</t>
  </si>
  <si>
    <t>ИТОГО:</t>
  </si>
  <si>
    <t>2. Погашение долговых обязательств:</t>
  </si>
  <si>
    <t>№ 
п/п</t>
  </si>
  <si>
    <t>долговые обязательства</t>
  </si>
  <si>
    <t>Кредитные соглашения и договоры заключённые от имени муниципального образования</t>
  </si>
  <si>
    <t>в том числе:</t>
  </si>
  <si>
    <t>с Министерством финансов Тверской области</t>
  </si>
  <si>
    <t>бюджетные кредиты, полученные  за счет средств федерального бюджета на пополнение остатков средств на счетах местных бюджетов</t>
  </si>
  <si>
    <r>
      <t xml:space="preserve">ПРОГРАММА
муниципальных </t>
    </r>
    <r>
      <rPr>
        <b/>
        <sz val="12"/>
        <color theme="1"/>
        <rFont val="Times New Roman"/>
        <family val="1"/>
      </rPr>
      <t>внутренних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заимствований муниципального образования 
город Торжок  за 2020 год </t>
    </r>
  </si>
  <si>
    <t xml:space="preserve">Раздел и подраздел бюджетной классификации расходов </t>
  </si>
  <si>
    <t xml:space="preserve">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 (в части предоставления иных межбюджетных трансфертов местным бюджетам)</t>
  </si>
  <si>
    <t xml:space="preserve">Бюджетополучатель    </t>
  </si>
  <si>
    <t>Мероприятие  "Проектирование, строительство и реконструкция объектов дорожного хозяйства"</t>
  </si>
  <si>
    <t xml:space="preserve">Приложение 11 </t>
  </si>
  <si>
    <t>к   решению Торжокской городской Думы</t>
  </si>
  <si>
    <t xml:space="preserve">Поступление доходов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за 2020 год </t>
  </si>
  <si>
    <t>Код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</si>
  <si>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</si>
  <si>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</si>
  <si>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</si>
  <si>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</si>
  <si>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</si>
  <si>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</si>
  <si>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</si>
  <si>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</si>
  <si>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</si>
  <si>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</si>
  <si>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</si>
  <si>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</si>
  <si>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</si>
  <si>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</si>
  <si>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</si>
  <si>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</si>
  <si>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</si>
  <si>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</si>
  <si>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</si>
  <si>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</si>
  <si>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</si>
  <si>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</si>
  <si>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</si>
  <si>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</si>
  <si>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</si>
  <si>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</si>
  <si>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</si>
  <si>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</si>
  <si>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</si>
  <si>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</si>
  <si>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</si>
  <si>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</si>
  <si>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</si>
  <si>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</si>
  <si>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</si>
  <si>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</si>
  <si>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</si>
  <si>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</si>
  <si>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</si>
  <si>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</si>
  <si>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</si>
  <si>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</si>
  <si>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</si>
  <si>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</si>
  <si>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</si>
  <si>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</si>
  <si>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</si>
  <si>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</si>
  <si>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</si>
  <si>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</si>
  <si>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</si>
  <si>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</si>
  <si>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</si>
  <si>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</si>
  <si>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</si>
  <si>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</si>
  <si>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</si>
  <si>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</si>
  <si>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</si>
  <si>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</si>
  <si>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</si>
  <si>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</si>
  <si>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</si>
  <si>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</si>
  <si>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</si>
  <si>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</si>
  <si>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</si>
  <si>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</si>
  <si>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</si>
  <si>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</si>
  <si>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</si>
  <si>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</si>
  <si>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</si>
  <si>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</si>
  <si>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</si>
  <si>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</si>
  <si>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</si>
  <si>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</si>
  <si>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</si>
  <si>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</si>
  <si>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</si>
  <si>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</si>
  <si>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</si>
  <si>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</si>
  <si>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</si>
  <si>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</si>
  <si>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</si>
  <si>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</si>
  <si>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</si>
  <si>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</si>
  <si>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</si>
  <si>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</si>
  <si>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</si>
  <si>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</si>
  <si>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</si>
  <si>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</si>
  <si>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</si>
  <si>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</si>
  <si>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</si>
  <si>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</si>
  <si>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</si>
  <si>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</si>
  <si>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</si>
  <si>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</si>
  <si>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</si>
  <si>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</si>
  <si>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</si>
  <si>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</si>
  <si>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</si>
  <si>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</si>
  <si>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</si>
  <si>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</si>
  <si>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</si>
  <si>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</si>
  <si>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</si>
  <si>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</si>
  <si>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</si>
  <si>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</si>
  <si>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</si>
  <si>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</si>
  <si>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</si>
  <si>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</si>
  <si>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</si>
  <si>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</si>
  <si>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</si>
  <si>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</si>
  <si>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</si>
  <si>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</si>
  <si>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</si>
  <si>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</si>
  <si>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</si>
  <si>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</si>
  <si>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</si>
  <si>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</si>
  <si>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</si>
  <si>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</si>
  <si>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</si>
  <si>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</si>
  <si>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</si>
  <si>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</si>
  <si>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</si>
  <si>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</si>
  <si>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</si>
  <si>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</si>
  <si>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</si>
  <si>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</si>
  <si>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</si>
  <si>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</si>
  <si>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</si>
  <si>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</si>
  <si>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</si>
  <si>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</si>
  <si>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</si>
  <si>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</si>
  <si>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</si>
  <si>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</si>
  <si>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</si>
  <si>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</si>
  <si>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</si>
  <si>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</si>
  <si>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</si>
  <si>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</si>
  <si>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</si>
  <si>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</si>
  <si>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</si>
  <si>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</si>
  <si>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</si>
  <si>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</si>
  <si>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</si>
  <si>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</si>
  <si>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</si>
  <si>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</si>
  <si>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</si>
  <si>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</si>
  <si>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</si>
  <si>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</si>
  <si>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</si>
  <si>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</si>
  <si>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</si>
  <si>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</si>
  <si>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</si>
  <si>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</si>
  <si>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</si>
  <si>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</si>
  <si>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</si>
  <si>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</si>
  <si>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</si>
  <si>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</si>
  <si>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</si>
  <si>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</si>
  <si>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</si>
  <si>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</si>
  <si>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</si>
  <si>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</si>
  <si>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</si>
  <si>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</si>
  <si>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</si>
  <si>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</si>
  <si>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</si>
  <si>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</si>
  <si>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</si>
  <si>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</si>
  <si>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</si>
  <si>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</si>
  <si>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</si>
  <si>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</si>
  <si>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</si>
  <si>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</si>
  <si>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</si>
  <si>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</si>
  <si>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</si>
  <si>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</si>
  <si>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</si>
  <si>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</si>
  <si>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</si>
  <si>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</si>
  <si>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</si>
  <si>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</si>
  <si>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</si>
  <si>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</si>
  <si>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</si>
  <si>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</si>
  <si>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</si>
  <si>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</si>
  <si>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строительство, реконструкцию муниципальных объектов дошкольного образования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</si>
  <si>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</si>
  <si>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</si>
  <si>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</si>
  <si>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</si>
  <si>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</si>
  <si>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</si>
  <si>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000 2 02 25232 00 0000 150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</si>
  <si>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</si>
  <si>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</si>
  <si>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</si>
  <si>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</si>
  <si>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</si>
  <si>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</si>
  <si>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</si>
  <si>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000 2 02 25497 00 0000 150</t>
  </si>
  <si>
    <t>Субсидии бюджетам на реализацию мероприятий по обеспечению жильем молодых семей</t>
  </si>
  <si>
    <t xml:space="preserve">000 2 02 25497 04 0000 150 </t>
  </si>
  <si>
    <t>Субсидии бюджетам городских округов на реализацию мероприятий по обеспечению жильем молодых семей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</si>
  <si>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</si>
  <si>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</si>
  <si>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</si>
  <si>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</si>
  <si>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</si>
  <si>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</si>
  <si>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</si>
  <si>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обеспечения учащихся начальных классов муниципальных общеобразовательных организаций горячим питанием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</si>
  <si>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</si>
  <si>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</si>
  <si>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на укрепление материально-технической базы муниципальных спортивных школ</t>
  </si>
  <si>
    <t>Субсидии бюджетам на укрепление материально-технической базы муниципальных общеобразовательных организаций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</si>
  <si>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</si>
  <si>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</si>
  <si>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</si>
  <si>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</si>
  <si>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бюджетам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</si>
  <si>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</si>
  <si>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</si>
  <si>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</si>
  <si>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</si>
  <si>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</si>
  <si>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</si>
  <si>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</si>
  <si>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</si>
  <si>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</si>
  <si>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</si>
  <si>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</si>
  <si>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</si>
  <si>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</si>
  <si>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</si>
  <si>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</si>
  <si>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</si>
  <si>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</si>
  <si>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</si>
  <si>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</si>
  <si>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</si>
  <si>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</si>
  <si>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</si>
  <si>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</si>
  <si>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</si>
  <si>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</si>
  <si>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</si>
  <si>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</si>
  <si>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</si>
  <si>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</si>
  <si>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</si>
  <si>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000 2 02 40000 00 0000 150</t>
  </si>
  <si>
    <t>Иные межбюджетные трансферты</t>
  </si>
  <si>
    <t>000 2 02 49001 00 0000 150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</si>
  <si>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</si>
  <si>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000 2 02 49001 04 0000 150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</si>
  <si>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</si>
  <si>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</si>
  <si>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</si>
  <si>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</si>
  <si>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</si>
  <si>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</si>
  <si>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</si>
  <si>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</si>
  <si>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</si>
  <si>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</si>
  <si>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000 2 19 35120 04 0000 150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</si>
  <si>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</si>
  <si>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</si>
  <si>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</si>
  <si>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</si>
  <si>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 xml:space="preserve">Приложение </t>
  </si>
  <si>
    <t>Код администратора доходов</t>
  </si>
  <si>
    <t>Наименование кода классификации доходов</t>
  </si>
  <si>
    <t>Код классификации доходов</t>
  </si>
  <si>
    <t>Исполнено,  тыс.руб.</t>
  </si>
  <si>
    <t>0 0 1</t>
  </si>
  <si>
    <t xml:space="preserve"> </t>
  </si>
  <si>
    <t>001 1 13 02994 04 0000 130</t>
  </si>
  <si>
    <t>001 1 16 01074 01 0000 140</t>
  </si>
  <si>
    <t>001 1 16 02020 02 0000 140</t>
  </si>
  <si>
    <t>001 1 16 07090 04 0000 140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</si>
  <si>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фонда))</t>
  </si>
  <si>
    <t>001 1 16 10123 01 0001 140</t>
  </si>
  <si>
    <t>001 1 16 11064 01 0000 140</t>
  </si>
  <si>
    <t>0 0 2</t>
  </si>
  <si>
    <t>002 2 02 15002 04 0000 150</t>
  </si>
  <si>
    <t>Субсидии бюджетам городских округов на софинансирование капитальных вложений в объекты муниципальной собственности (Субсидии на строительство, реконструкцию муниципальных объектов дошкольного образования)</t>
  </si>
  <si>
    <t>002 2 02 20077 04 2144 150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</si>
  <si>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бюджетам на ремонт дворовых территорий многоквартирных домов, проездов к дворовым территориям многоквартирных домов населенных пунктов)</t>
  </si>
  <si>
    <t>002 2 02 20216 04 2125 150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</si>
  <si>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капитальный ремонт и ремонт улично-дорожной сети муниципальных образований Тверской области)</t>
  </si>
  <si>
    <t>002 2 02 20216 04 2224 150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</si>
  <si>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значения)</t>
  </si>
  <si>
    <t>002 2 02 20216 04 2227 150</t>
  </si>
  <si>
    <t>002 2 02 25232 04 0000 150</t>
  </si>
  <si>
    <t>002 2 02 25304 04 0000 150</t>
  </si>
  <si>
    <t>002 2 02 25497 04 0000 150</t>
  </si>
  <si>
    <t>002 2 02 25555 04 0000 150</t>
  </si>
  <si>
    <t>Прочие субсидии бюджетам городских округов (Субсидии на организацию обеспечения учащихся начальных классов муниципальных общеобразовательных организаций горячим питанием)</t>
  </si>
  <si>
    <t>002 2 02 29999 04 2012 150</t>
  </si>
  <si>
    <t>Прочие субсидии бюджетам городских округов (Субсидии на поддержку редакций районных и городских газет)</t>
  </si>
  <si>
    <t>002 2 02 29999 04 2049 150</t>
  </si>
  <si>
    <t>Прочие субсидии бюджетам городских округов (Субсидии на приобретение и установку плоскостных спортивных сооружений и оборудования на плоскостные спортивные сооружения на территории Тверской области)</t>
  </si>
  <si>
    <t>002 2 02 29999 04 2075 150</t>
  </si>
  <si>
    <t>Прочие субсидии бюджетам городских округов (Субсидии на укрепление материально-технической базы муниципальных спортивных школ)</t>
  </si>
  <si>
    <t>002 2 02 29999 04 2189 150</t>
  </si>
  <si>
    <t>Прочие субсидии бюджетам городских округов (Субсидии на укрепление материально-технической базы муниципальных общеобразовательных организаций)</t>
  </si>
  <si>
    <t>002 2 02 29999 04 2190 150</t>
  </si>
  <si>
    <t>Прочие субсидии бюджетам городских округов (Субсидии бюджетам на организацию участия детей и подростков в социально значимых региональных проектах)</t>
  </si>
  <si>
    <t>002 2 02 29999 04 2203 150</t>
  </si>
  <si>
    <t>Прочие субсидии бюджетам городских округов (Субсидии на повышение заработной платы педагогическим работникам муниципальных организаций дополнительного образования)</t>
  </si>
  <si>
    <t>002 2 02 29999 04 2207 150</t>
  </si>
  <si>
    <t>Прочие субсидии бюджетам городских округов (Субсидии на повышение заработной платы работникам муниципальных учреждений культуры Тверской области)</t>
  </si>
  <si>
    <t>002 2 02 29999 04 2208 150</t>
  </si>
  <si>
    <t>002 2 02 30029 04 0000 150</t>
  </si>
  <si>
    <t>002 2 02 35082 04 0000 150</t>
  </si>
  <si>
    <t>002 2 02 35120 04 0000 150</t>
  </si>
  <si>
    <t>002 2 02 35303 04 0000 150</t>
  </si>
  <si>
    <t>002 2 02 35930 04 0000 150</t>
  </si>
  <si>
    <t>Прочие субвенции бюджетам городских округов (Субвенции на 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несовершеннолетних)</t>
  </si>
  <si>
    <t>002 2 02 39999 04 2015 150</t>
  </si>
  <si>
    <t>Прочие субвенции бюджетам городских округов (Субвенции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</si>
  <si>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002 2 02 39999 04 2016 150</t>
  </si>
  <si>
    <t>Прочие субвенции бюджетам городских округов (Субвенции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</si>
  <si>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002 2 02 39999 04 2114 150</t>
  </si>
  <si>
    <t>Прочие субвенции бюджетам городских округов (Субвенции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</si>
  <si>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002 2 02 39999 04 2153 150</t>
  </si>
  <si>
    <t>Прочие субвенции бюджетам городских округов (Субвенции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области)</t>
  </si>
  <si>
    <t>002 2 02 39999 04 2217 150</t>
  </si>
  <si>
    <t>002 2 02 49001 04 0000 150</t>
  </si>
  <si>
    <t>Прочие межбюджетные трансферты, передаваемые бюджетам городских округов (Прочие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области)</t>
  </si>
  <si>
    <t>002 2 02 49999 04 2164 150</t>
  </si>
  <si>
    <t>Прочие межбюджетные трансферты, передаваемые бюджетам городских округов (Прочие межбюджетные трансферты, передаваемые бюджетам на приобретение и установку детских игровых комплексов)</t>
  </si>
  <si>
    <t>002 2 02 49999 04 2233 150</t>
  </si>
  <si>
    <t>002 2 19 35120 04 0000 150</t>
  </si>
  <si>
    <t>002 2 19 60010 04 0000 150</t>
  </si>
  <si>
    <t>0 0 5</t>
  </si>
  <si>
    <t>005 1 11 05012 04 0000 120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</si>
  <si>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</si>
  <si>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005 1 11 05024 04 0000 120</t>
  </si>
  <si>
    <t>Доходы от сдачи в аренду имущества, составляющего казну городских округов (за исключением земельных участков)</t>
  </si>
  <si>
    <t>005 1 11 05074 04 0000 120</t>
  </si>
  <si>
    <t>005 1 11 07014 04 0000 120</t>
  </si>
  <si>
    <t>005 1 11 09044 04 0000 120</t>
  </si>
  <si>
    <t>005 1 13 02994 04 0000 130</t>
  </si>
  <si>
    <t>005 1 14 06012 04 0000 430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</si>
  <si>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(Доходы от продажи имущества на условиях преимущественного права выкупа арендуемого имущества субъектами малого и среднего предпринимательства)</t>
  </si>
  <si>
    <t>005 1 14 13040 04 0010 410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</si>
  <si>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(Доходы от продажи земельных участков)</t>
  </si>
  <si>
    <t>005 1 14 13040 04 0030 410</t>
  </si>
  <si>
    <t>005 1 16 07090 04 0000 140</t>
  </si>
  <si>
    <t>005 1 16 10123 01 0001 140</t>
  </si>
  <si>
    <t>005 1 17 05040 04 0000 180</t>
  </si>
  <si>
    <t>0 1 7</t>
  </si>
  <si>
    <t>Главное управление "Государственная жилищная инспекция" Тверской области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</si>
  <si>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</si>
  <si>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017 1 16 10123 01 0041 140</t>
  </si>
  <si>
    <t xml:space="preserve">0 4 8 </t>
  </si>
  <si>
    <t>Федеральная служба по надзору в сфере природопользования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</si>
  <si>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</si>
  <si>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</si>
  <si>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</si>
  <si>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</si>
  <si>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</si>
  <si>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</si>
  <si>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</si>
  <si>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</si>
  <si>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</si>
  <si>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048 1 16 10123 01 0041 120</t>
  </si>
  <si>
    <t>0 7 5</t>
  </si>
  <si>
    <t>Министерство образования Тверской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</si>
  <si>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</si>
  <si>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075 1 16 01053 04 0035 140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</si>
  <si>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</si>
  <si>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075 1 16 01063 01 9000 140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</si>
  <si>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</si>
  <si>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075 1 16 01073 01 0027 140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</si>
  <si>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</si>
  <si>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075 1 16 01203 01 0021 140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</si>
  <si>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</si>
  <si>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075 1 16 01203 01 9000 140</t>
  </si>
  <si>
    <t>1 0 0</t>
  </si>
  <si>
    <t>Федеральное казначейство</t>
  </si>
  <si>
    <t>100 1 03 02231 01 0000 110</t>
  </si>
  <si>
    <t>100 1 03 02241 01 0000 110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</si>
  <si>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</si>
  <si>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</si>
  <si>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</si>
  <si>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1 4 1</t>
  </si>
  <si>
    <t>Федеральная служба по надзору в сфере защиты прав потребителей и благополучия человека</t>
  </si>
  <si>
    <t>141 1 16 10123 01 0041 140</t>
  </si>
  <si>
    <t>1 8 2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</si>
  <si>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</si>
  <si>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</si>
  <si>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</si>
  <si>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</si>
  <si>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</si>
  <si>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</si>
  <si>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</si>
  <si>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</si>
  <si>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</si>
  <si>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</si>
  <si>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</si>
  <si>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</si>
  <si>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</si>
  <si>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</si>
  <si>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</si>
  <si>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</si>
  <si>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</si>
  <si>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</si>
  <si>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</si>
  <si>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</si>
  <si>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</si>
  <si>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</si>
  <si>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182 1 01 02030 01 4000 110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</si>
  <si>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</si>
  <si>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</si>
  <si>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>Единый налог на вмененный доход для отдельных видов деятельности (пени по соответствующему платежу)</t>
  </si>
  <si>
    <t>182 1 05 02010 02 2100 110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</si>
  <si>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</si>
  <si>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</si>
  <si>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>Единый налог на вмененный доход для отдельных видов деятельности (прочие поступления)</t>
  </si>
  <si>
    <t>182 1 05 02010 02 4000 110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</si>
  <si>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</si>
  <si>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182 1 05 04010 02 1000 110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</si>
  <si>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</si>
  <si>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182 1 05 04010 02 2100 110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</si>
  <si>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</si>
  <si>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</si>
  <si>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</si>
  <si>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182 1 06 01020 04 2100 110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</si>
  <si>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</si>
  <si>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182 1 06 06032 04 1000 110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</si>
  <si>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</si>
  <si>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182 1 06 06032 04 2100 110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</si>
  <si>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</si>
  <si>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182 106 06032 04 3000 110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</si>
  <si>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</si>
  <si>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182 1 06 06042 04 1000 110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</si>
  <si>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</si>
  <si>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182 1 06 06042 04 2100 110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</si>
  <si>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</si>
  <si>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</si>
  <si>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>182 1 16 10123 01 0041 140</t>
  </si>
  <si>
    <t>182 1 16 10129 01 0000 140</t>
  </si>
  <si>
    <t xml:space="preserve">1 8 8 </t>
  </si>
  <si>
    <t>Министерство внутренних дел Российской Федерации</t>
  </si>
  <si>
    <t>188 1 16 10123 01 0041 140</t>
  </si>
  <si>
    <t xml:space="preserve">3 2 1 </t>
  </si>
  <si>
    <t>Федеральная служба государственной регистрации, кадастра и картографии</t>
  </si>
  <si>
    <t>321 1 16 10123 01 0041 140</t>
  </si>
  <si>
    <t>3 3 5</t>
  </si>
  <si>
    <t>Главное управление региональной безопасности Тверской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</si>
  <si>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</si>
  <si>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335 1 16 01053 01 0027 140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</si>
  <si>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</si>
  <si>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335 1 16 01053 01 9000 140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</si>
  <si>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</si>
  <si>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335 1 16 01063 01 0008 140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</si>
  <si>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нарушение авторских и смежных прав, изобретательских и патентных прав)</t>
  </si>
  <si>
    <t>335 1 16 01073 01 0012 140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</si>
  <si>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</si>
  <si>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335 1 16 01073 01 0017 140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</si>
  <si>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</si>
  <si>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335 1 16 01073 01 0019 140</t>
  </si>
  <si>
    <t>335 1 16 01073 01 0027 140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</si>
  <si>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</si>
  <si>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335 1 16 01083 01 0028 140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</si>
  <si>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</si>
  <si>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335 1 16 01083 01 9000 140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</si>
  <si>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</si>
  <si>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335 1 16 01093 01 9000 140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</si>
  <si>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(штрафы за нарушение правил карантина животных или других ветеринарно-санитарных правил)</t>
  </si>
  <si>
    <t>335 1 16 01103 01 0006 140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</si>
  <si>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</si>
  <si>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335 1 16 01103 01 9000 140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</si>
  <si>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</si>
  <si>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335 1 16 01133 01 9000 140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</si>
  <si>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</si>
  <si>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335 1 16 01143 01 0016 140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</si>
  <si>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</si>
  <si>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335 1 16 01143 01 9000 140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</si>
  <si>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</si>
  <si>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335 1 16 01153 01 0005 140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</si>
  <si>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</si>
  <si>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335 1 16 01153 01 0006 140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</si>
  <si>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</si>
  <si>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335 1 16 01153 01 0012 140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</si>
  <si>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</si>
  <si>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335 1 16 01153 01 9000 140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</si>
  <si>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</si>
  <si>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335 1 16 01173 01 0007 140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</si>
  <si>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</si>
  <si>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335 1 16 01173 01 0008 140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</si>
  <si>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</si>
  <si>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335 1 16 01173 01 9000 140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</si>
  <si>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</si>
  <si>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335 1 16 01193 01 9000 140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</si>
  <si>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</si>
  <si>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</si>
  <si>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</si>
  <si>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</si>
  <si>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</si>
  <si>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</si>
  <si>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</si>
  <si>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335 1 16 01203 01 9000 140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</si>
  <si>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</si>
  <si>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</si>
  <si>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</si>
  <si>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Доходы бюджета муниципального образования город Торжок за 2020 год 
по кодам классификации доходов бюджетов</t>
  </si>
  <si>
    <t>Приложение  2</t>
  </si>
  <si>
    <t>Приложение 3</t>
  </si>
  <si>
    <t>Ведомственная структура расходов бюджета муниципального образования  город Торжок  за 2020 год</t>
  </si>
  <si>
    <t>Строительство тепловой сети от точки присоединения до узла ввода в жилой дом 
 № 51  по Тверецкой набережной в г. Торжок Тверской области (разработка проектной документации)</t>
  </si>
  <si>
    <t>Строительство сетей водоснабжения по 
ул. Старицкая в г. Торжке Тверской области 
(разработка проектной документации и СМР)</t>
  </si>
  <si>
    <t>Думы  от 20.05.2021  №  45</t>
  </si>
  <si>
    <t>от 20.05.2021  № 45</t>
  </si>
  <si>
    <t>от 20.05.2021 № 45</t>
  </si>
  <si>
    <t xml:space="preserve">от 20.05.2021 № 45 </t>
  </si>
  <si>
    <t>Приложение 5
к решению Торжокской городской Думы
от 20.05.2021 № 45</t>
  </si>
  <si>
    <t>Приложение 6
к решению Торжокской городской Думы
от 20.05.2021 № 45</t>
  </si>
  <si>
    <t>Приложение 7
к решению Торжокской городской Думы
от 20.05.2021 № 45</t>
  </si>
  <si>
    <t>Приложение 8
к решению Торжокской городской Думы
от 20.05.2021 № 45</t>
  </si>
  <si>
    <t>Приложение 9
к решению Торжокской городской
Думы  от 20.05.2021 № 45</t>
  </si>
  <si>
    <t>Приложение 10
к решению Торжокской городской Думы
от 20.05.2021 № 45</t>
  </si>
</sst>
</file>

<file path=xl/styles.xml><?xml version="1.0" encoding="utf-8"?>
<styleSheet xmlns="http://schemas.openxmlformats.org/spreadsheetml/2006/main">
  <numFmts count="6"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"/>
    <numFmt numFmtId="169" formatCode="_-* #,##0_р_._-;\-* #,##0_р_._-;_-* &quot;-&quot;_р_._-;_-@_-"/>
  </numFmts>
  <fonts count="20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3"/>
      <name val="Times New Roman"/>
      <family val="1"/>
    </font>
    <font>
      <sz val="12"/>
      <color theme="1"/>
      <name val="Times New Roman"/>
      <family val="1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156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4" fillId="0" borderId="0">
      <alignment vertical="top" wrapText="1"/>
      <protection/>
    </xf>
    <xf numFmtId="165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horizontal="justify"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447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8" fontId="8" fillId="0" borderId="2" xfId="31" applyNumberFormat="1" applyFont="1" applyFill="1" applyBorder="1" applyAlignment="1">
      <alignment horizontal="center" vertical="center" wrapText="1"/>
      <protection/>
    </xf>
    <xf numFmtId="168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5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8" fontId="5" fillId="0" borderId="1" xfId="31" applyNumberFormat="1" applyFont="1" applyFill="1" applyBorder="1" applyAlignment="1">
      <alignment horizontal="center" vertical="center" wrapText="1"/>
      <protection/>
    </xf>
    <xf numFmtId="49" fontId="3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5" fontId="5" fillId="0" borderId="0" xfId="31" applyNumberFormat="1" applyFont="1" applyFill="1" applyAlignment="1">
      <alignment horizontal="center" vertical="center" wrapText="1"/>
      <protection/>
    </xf>
    <xf numFmtId="168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8" fontId="7" fillId="0" borderId="1" xfId="31" applyNumberFormat="1" applyFont="1" applyFill="1" applyBorder="1" applyAlignment="1">
      <alignment horizontal="center" vertical="center" wrapText="1"/>
      <protection/>
    </xf>
    <xf numFmtId="165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5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5" fontId="8" fillId="0" borderId="0" xfId="32" applyNumberFormat="1" applyFont="1" applyFill="1" applyAlignment="1">
      <alignment vertical="center" wrapText="1"/>
      <protection/>
    </xf>
    <xf numFmtId="167" fontId="8" fillId="0" borderId="3" xfId="32" applyNumberFormat="1" applyFont="1" applyFill="1" applyBorder="1" applyAlignment="1">
      <alignment horizontal="center" vertical="center" wrapText="1"/>
      <protection/>
    </xf>
    <xf numFmtId="167" fontId="8" fillId="0" borderId="1" xfId="32" applyNumberFormat="1" applyFont="1" applyFill="1" applyBorder="1" applyAlignment="1">
      <alignment horizontal="center" vertical="center" wrapText="1"/>
      <protection/>
    </xf>
    <xf numFmtId="167" fontId="5" fillId="0" borderId="1" xfId="32" applyNumberFormat="1" applyFont="1" applyFill="1" applyBorder="1" applyAlignment="1">
      <alignment horizontal="center" vertical="center" wrapText="1"/>
      <protection/>
    </xf>
    <xf numFmtId="167" fontId="5" fillId="0" borderId="0" xfId="32" applyNumberFormat="1" applyFont="1" applyFill="1" applyAlignment="1">
      <alignment vertical="center" wrapText="1"/>
      <protection/>
    </xf>
    <xf numFmtId="167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7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8" fontId="8" fillId="0" borderId="4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5" fontId="3" fillId="0" borderId="0" xfId="31" applyNumberFormat="1" applyFont="1" applyFill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5" fontId="5" fillId="0" borderId="0" xfId="31" applyNumberFormat="1" applyFont="1" applyFill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5" fontId="5" fillId="0" borderId="0" xfId="32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168" fontId="8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8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8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8" fontId="5" fillId="0" borderId="6" xfId="31" applyNumberFormat="1" applyFont="1" applyFill="1" applyBorder="1" applyAlignment="1">
      <alignment horizontal="center" vertical="center" wrapText="1"/>
      <protection/>
    </xf>
    <xf numFmtId="168" fontId="5" fillId="0" borderId="7" xfId="31" applyNumberFormat="1" applyFont="1" applyFill="1" applyBorder="1" applyAlignment="1">
      <alignment horizontal="center" vertical="center" wrapText="1"/>
      <protection/>
    </xf>
    <xf numFmtId="168" fontId="5" fillId="0" borderId="8" xfId="31" applyNumberFormat="1" applyFont="1" applyFill="1" applyBorder="1" applyAlignment="1">
      <alignment horizontal="center" vertical="center" wrapText="1"/>
      <protection/>
    </xf>
    <xf numFmtId="165" fontId="5" fillId="0" borderId="1" xfId="31" applyNumberFormat="1" applyFont="1" applyFill="1" applyBorder="1" applyAlignment="1">
      <alignment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9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1" xfId="31" applyNumberFormat="1" applyFont="1" applyFill="1" applyBorder="1" applyAlignment="1">
      <alignment horizontal="center" vertical="center" wrapText="1"/>
      <protection/>
    </xf>
    <xf numFmtId="168" fontId="5" fillId="0" borderId="12" xfId="31" applyNumberFormat="1" applyFont="1" applyFill="1" applyBorder="1" applyAlignment="1">
      <alignment horizontal="center" vertical="center" wrapText="1"/>
      <protection/>
    </xf>
    <xf numFmtId="168" fontId="5" fillId="0" borderId="13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12" fillId="0" borderId="0" xfId="135" applyFont="1" applyAlignment="1">
      <alignment horizontal="left"/>
      <protection/>
    </xf>
    <xf numFmtId="0" fontId="12" fillId="0" borderId="0" xfId="135" applyFont="1">
      <alignment/>
      <protection/>
    </xf>
    <xf numFmtId="0" fontId="12" fillId="0" borderId="0" xfId="135" applyFont="1" applyAlignment="1">
      <alignment horizontal="center"/>
      <protection/>
    </xf>
    <xf numFmtId="0" fontId="13" fillId="0" borderId="0" xfId="135" applyFont="1" applyAlignment="1">
      <alignment horizontal="center"/>
      <protection/>
    </xf>
    <xf numFmtId="0" fontId="3" fillId="0" borderId="5" xfId="135" applyFont="1" applyBorder="1" applyAlignment="1">
      <alignment horizontal="center" vertical="center" wrapText="1"/>
      <protection/>
    </xf>
    <xf numFmtId="0" fontId="7" fillId="0" borderId="5" xfId="135" applyFont="1" applyBorder="1" applyAlignment="1">
      <alignment horizontal="center" vertical="center" wrapText="1"/>
      <protection/>
    </xf>
    <xf numFmtId="0" fontId="7" fillId="0" borderId="1" xfId="136" applyFont="1" applyBorder="1" applyAlignment="1">
      <alignment horizontal="left" vertical="center" wrapText="1"/>
      <protection/>
    </xf>
    <xf numFmtId="0" fontId="7" fillId="0" borderId="6" xfId="135" applyFont="1" applyFill="1" applyBorder="1" applyAlignment="1">
      <alignment horizontal="center" vertical="center" wrapText="1"/>
      <protection/>
    </xf>
    <xf numFmtId="167" fontId="7" fillId="0" borderId="1" xfId="135" applyNumberFormat="1" applyFont="1" applyBorder="1" applyAlignment="1">
      <alignment horizontal="center" vertical="center" wrapText="1"/>
      <protection/>
    </xf>
    <xf numFmtId="49" fontId="7" fillId="0" borderId="1" xfId="135" applyNumberFormat="1" applyFont="1" applyFill="1" applyBorder="1" applyAlignment="1">
      <alignment horizontal="center" vertical="center" wrapText="1"/>
      <protection/>
    </xf>
    <xf numFmtId="0" fontId="13" fillId="0" borderId="0" xfId="135" applyFont="1">
      <alignment/>
      <protection/>
    </xf>
    <xf numFmtId="0" fontId="3" fillId="0" borderId="1" xfId="136" applyFont="1" applyBorder="1" applyAlignment="1">
      <alignment horizontal="left" vertical="center" wrapText="1"/>
      <protection/>
    </xf>
    <xf numFmtId="0" fontId="3" fillId="0" borderId="6" xfId="135" applyFont="1" applyFill="1" applyBorder="1" applyAlignment="1">
      <alignment horizontal="center" vertical="center" wrapText="1"/>
      <protection/>
    </xf>
    <xf numFmtId="167" fontId="3" fillId="0" borderId="1" xfId="135" applyNumberFormat="1" applyFont="1" applyFill="1" applyBorder="1" applyAlignment="1">
      <alignment horizontal="center" vertical="center" wrapText="1"/>
      <protection/>
    </xf>
    <xf numFmtId="49" fontId="3" fillId="0" borderId="1" xfId="135" applyNumberFormat="1" applyFont="1" applyBorder="1" applyAlignment="1">
      <alignment horizontal="center" vertical="center" wrapText="1"/>
      <protection/>
    </xf>
    <xf numFmtId="0" fontId="3" fillId="0" borderId="1" xfId="135" applyFont="1" applyBorder="1" applyAlignment="1">
      <alignment horizontal="left" vertical="center" wrapText="1"/>
      <protection/>
    </xf>
    <xf numFmtId="0" fontId="3" fillId="0" borderId="6" xfId="135" applyFont="1" applyFill="1" applyBorder="1" applyAlignment="1">
      <alignment horizontal="left" vertical="center" wrapText="1"/>
      <protection/>
    </xf>
    <xf numFmtId="167" fontId="3" fillId="0" borderId="5" xfId="135" applyNumberFormat="1" applyFont="1" applyBorder="1" applyAlignment="1">
      <alignment horizontal="center" vertical="center" wrapText="1"/>
      <protection/>
    </xf>
    <xf numFmtId="167" fontId="3" fillId="0" borderId="1" xfId="135" applyNumberFormat="1" applyFont="1" applyBorder="1" applyAlignment="1">
      <alignment horizontal="center" vertical="center" wrapText="1"/>
      <protection/>
    </xf>
    <xf numFmtId="167" fontId="3" fillId="0" borderId="6" xfId="135" applyNumberFormat="1" applyFont="1" applyBorder="1" applyAlignment="1">
      <alignment horizontal="center" vertical="center" wrapText="1"/>
      <protection/>
    </xf>
    <xf numFmtId="0" fontId="3" fillId="0" borderId="6" xfId="136" applyFont="1" applyBorder="1" applyAlignment="1">
      <alignment horizontal="center" vertical="center" wrapText="1"/>
      <protection/>
    </xf>
    <xf numFmtId="0" fontId="7" fillId="0" borderId="1" xfId="135" applyFont="1" applyBorder="1" applyAlignment="1">
      <alignment horizontal="left" vertical="center" wrapText="1"/>
      <protection/>
    </xf>
    <xf numFmtId="0" fontId="7" fillId="0" borderId="1" xfId="135" applyFont="1" applyBorder="1" applyAlignment="1">
      <alignment horizontal="center" vertical="center" wrapText="1"/>
      <protection/>
    </xf>
    <xf numFmtId="49" fontId="7" fillId="0" borderId="1" xfId="135" applyNumberFormat="1" applyFont="1" applyBorder="1" applyAlignment="1">
      <alignment horizontal="center" vertical="center" wrapText="1"/>
      <protection/>
    </xf>
    <xf numFmtId="0" fontId="3" fillId="0" borderId="0" xfId="135" applyFont="1" applyBorder="1" applyAlignment="1">
      <alignment horizontal="left" vertical="center" wrapText="1"/>
      <protection/>
    </xf>
    <xf numFmtId="0" fontId="3" fillId="0" borderId="0" xfId="135" applyFont="1" applyBorder="1" applyAlignment="1">
      <alignment horizontal="center" vertical="center" wrapText="1"/>
      <protection/>
    </xf>
    <xf numFmtId="167" fontId="3" fillId="0" borderId="0" xfId="135" applyNumberFormat="1" applyFont="1" applyFill="1" applyBorder="1" applyAlignment="1">
      <alignment horizontal="center" vertical="center" wrapText="1"/>
      <protection/>
    </xf>
    <xf numFmtId="167" fontId="7" fillId="0" borderId="0" xfId="135" applyNumberFormat="1" applyFont="1" applyBorder="1" applyAlignment="1">
      <alignment horizontal="center" vertical="center" wrapText="1"/>
      <protection/>
    </xf>
    <xf numFmtId="49" fontId="3" fillId="0" borderId="0" xfId="135" applyNumberFormat="1" applyFont="1" applyBorder="1" applyAlignment="1">
      <alignment horizontal="center" vertical="center" wrapText="1"/>
      <protection/>
    </xf>
    <xf numFmtId="0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8" fillId="0" borderId="9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5" fontId="5" fillId="0" borderId="0" xfId="32" applyNumberFormat="1" applyFont="1" applyFill="1" applyBorder="1" applyAlignment="1">
      <alignment vertical="center" wrapText="1"/>
      <protection/>
    </xf>
    <xf numFmtId="165" fontId="5" fillId="0" borderId="0" xfId="32" applyNumberFormat="1" applyFont="1" applyFill="1" applyBorder="1" applyAlignment="1">
      <alignment horizontal="left" vertical="center" wrapText="1"/>
      <protection/>
    </xf>
    <xf numFmtId="167" fontId="5" fillId="0" borderId="0" xfId="32" applyNumberFormat="1" applyFont="1" applyFill="1" applyBorder="1" applyAlignment="1">
      <alignment vertical="center" wrapText="1"/>
      <protection/>
    </xf>
    <xf numFmtId="165" fontId="8" fillId="0" borderId="0" xfId="32" applyNumberFormat="1" applyFont="1" applyFill="1" applyBorder="1" applyAlignment="1">
      <alignment vertical="center" wrapText="1"/>
      <protection/>
    </xf>
    <xf numFmtId="167" fontId="5" fillId="0" borderId="0" xfId="32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7" fontId="5" fillId="0" borderId="7" xfId="0" applyNumberFormat="1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4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0" fontId="7" fillId="0" borderId="0" xfId="135" applyFont="1" applyAlignment="1">
      <alignment horizontal="center"/>
      <protection/>
    </xf>
    <xf numFmtId="49" fontId="7" fillId="0" borderId="1" xfId="0" applyNumberFormat="1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 wrapText="1"/>
    </xf>
    <xf numFmtId="0" fontId="8" fillId="0" borderId="0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Border="1" applyAlignment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32" applyNumberFormat="1" applyFont="1" applyFill="1" applyBorder="1" applyAlignment="1">
      <alignment vertical="center" wrapText="1"/>
      <protection/>
    </xf>
    <xf numFmtId="0" fontId="3" fillId="0" borderId="0" xfId="149" applyFont="1" applyAlignment="1">
      <alignment horizontal="justify" vertical="top" wrapText="1"/>
      <protection/>
    </xf>
    <xf numFmtId="169" fontId="3" fillId="0" borderId="0" xfId="109" applyNumberFormat="1" applyFont="1" applyAlignment="1">
      <alignment vertical="top" wrapText="1"/>
    </xf>
    <xf numFmtId="0" fontId="3" fillId="0" borderId="0" xfId="149" applyFont="1" applyAlignment="1">
      <alignment horizontal="right" vertical="top" wrapText="1"/>
      <protection/>
    </xf>
    <xf numFmtId="0" fontId="3" fillId="0" borderId="0" xfId="149" applyFont="1" applyAlignment="1">
      <alignment vertical="top"/>
      <protection/>
    </xf>
    <xf numFmtId="0" fontId="3" fillId="0" borderId="0" xfId="149" applyFont="1" applyAlignment="1">
      <alignment horizontal="center" vertical="top" wrapText="1"/>
      <protection/>
    </xf>
    <xf numFmtId="0" fontId="3" fillId="0" borderId="6" xfId="149" applyFont="1" applyBorder="1" applyAlignment="1">
      <alignment horizontal="center" vertical="center" wrapText="1"/>
      <protection/>
    </xf>
    <xf numFmtId="0" fontId="3" fillId="0" borderId="0" xfId="149" applyFont="1" applyAlignment="1">
      <alignment horizontal="center" vertical="center" wrapText="1"/>
      <protection/>
    </xf>
    <xf numFmtId="0" fontId="3" fillId="0" borderId="1" xfId="149" applyFont="1" applyBorder="1" applyAlignment="1">
      <alignment horizontal="center" vertical="center" wrapText="1"/>
      <protection/>
    </xf>
    <xf numFmtId="0" fontId="3" fillId="0" borderId="1" xfId="149" applyFont="1" applyFill="1" applyBorder="1" applyAlignment="1">
      <alignment horizontal="left" vertical="center" wrapText="1" indent="1"/>
      <protection/>
    </xf>
    <xf numFmtId="167" fontId="3" fillId="0" borderId="1" xfId="149" applyNumberFormat="1" applyFont="1" applyBorder="1" applyAlignment="1">
      <alignment horizontal="center" vertical="center" wrapText="1"/>
      <protection/>
    </xf>
    <xf numFmtId="0" fontId="3" fillId="0" borderId="1" xfId="149" applyFont="1" applyBorder="1" applyAlignment="1">
      <alignment horizontal="left" vertical="center" wrapText="1" indent="1"/>
      <protection/>
    </xf>
    <xf numFmtId="0" fontId="7" fillId="0" borderId="1" xfId="149" applyFont="1" applyBorder="1" applyAlignment="1">
      <alignment horizontal="left" vertical="center" wrapText="1" indent="1"/>
      <protection/>
    </xf>
    <xf numFmtId="167" fontId="7" fillId="0" borderId="1" xfId="149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 wrapText="1"/>
    </xf>
    <xf numFmtId="0" fontId="3" fillId="0" borderId="1" xfId="149" applyFont="1" applyFill="1" applyBorder="1" applyAlignment="1">
      <alignment horizontal="center" vertical="center" wrapText="1"/>
      <protection/>
    </xf>
    <xf numFmtId="167" fontId="3" fillId="0" borderId="1" xfId="149" applyNumberFormat="1" applyFont="1" applyFill="1" applyBorder="1" applyAlignment="1">
      <alignment horizontal="center" vertical="center" wrapText="1"/>
      <protection/>
    </xf>
    <xf numFmtId="0" fontId="3" fillId="0" borderId="1" xfId="149" applyFont="1" applyFill="1" applyBorder="1" applyAlignment="1">
      <alignment horizontal="left" vertical="top" wrapText="1"/>
      <protection/>
    </xf>
    <xf numFmtId="0" fontId="7" fillId="0" borderId="1" xfId="149" applyFont="1" applyFill="1" applyBorder="1" applyAlignment="1">
      <alignment horizontal="left" vertical="top" wrapText="1" indent="1"/>
      <protection/>
    </xf>
    <xf numFmtId="167" fontId="7" fillId="0" borderId="1" xfId="149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31" applyNumberFormat="1" applyFont="1" applyFill="1" applyAlignment="1">
      <alignment vertical="top" wrapText="1"/>
      <protection/>
    </xf>
    <xf numFmtId="167" fontId="3" fillId="0" borderId="0" xfId="31" applyNumberFormat="1" applyFont="1" applyFill="1" applyAlignment="1">
      <alignment vertical="top" wrapText="1"/>
      <protection/>
    </xf>
    <xf numFmtId="49" fontId="3" fillId="0" borderId="5" xfId="31" applyNumberFormat="1" applyFont="1" applyFill="1" applyBorder="1" applyAlignment="1">
      <alignment horizontal="center" vertical="center" wrapText="1"/>
      <protection/>
    </xf>
    <xf numFmtId="0" fontId="3" fillId="0" borderId="5" xfId="31" applyNumberFormat="1" applyFont="1" applyFill="1" applyBorder="1" applyAlignment="1">
      <alignment horizontal="center" vertical="center" wrapText="1"/>
      <protection/>
    </xf>
    <xf numFmtId="0" fontId="3" fillId="0" borderId="4" xfId="31" applyNumberFormat="1" applyFont="1" applyFill="1" applyBorder="1" applyAlignment="1">
      <alignment horizontal="left" vertical="center" wrapText="1"/>
      <protection/>
    </xf>
    <xf numFmtId="0" fontId="3" fillId="0" borderId="2" xfId="31" applyNumberFormat="1" applyFont="1" applyFill="1" applyBorder="1" applyAlignment="1">
      <alignment horizontal="left" vertical="center" wrapText="1"/>
      <protection/>
    </xf>
    <xf numFmtId="165" fontId="3" fillId="0" borderId="1" xfId="31" applyNumberFormat="1" applyFont="1" applyFill="1" applyBorder="1" applyAlignment="1">
      <alignment vertical="top" wrapText="1"/>
      <protection/>
    </xf>
    <xf numFmtId="167" fontId="3" fillId="0" borderId="0" xfId="0" applyNumberFormat="1" applyFont="1" applyAlignment="1">
      <alignment horizontal="center" vertical="center" wrapText="1"/>
    </xf>
    <xf numFmtId="0" fontId="3" fillId="0" borderId="0" xfId="31" applyNumberFormat="1" applyFont="1" applyFill="1" applyAlignment="1">
      <alignment horizontal="right" vertical="top" wrapText="1"/>
      <protection/>
    </xf>
    <xf numFmtId="49" fontId="3" fillId="0" borderId="0" xfId="150" applyNumberFormat="1" applyFont="1" applyFill="1" applyBorder="1" applyAlignment="1">
      <alignment horizontal="center" vertical="center"/>
      <protection/>
    </xf>
    <xf numFmtId="0" fontId="3" fillId="0" borderId="0" xfId="150" applyFont="1" applyAlignment="1">
      <alignment vertical="center"/>
      <protection/>
    </xf>
    <xf numFmtId="0" fontId="18" fillId="0" borderId="0" xfId="150" applyFont="1" applyFill="1">
      <alignment/>
      <protection/>
    </xf>
    <xf numFmtId="0" fontId="3" fillId="0" borderId="0" xfId="150" applyFont="1" applyAlignment="1">
      <alignment horizontal="center"/>
      <protection/>
    </xf>
    <xf numFmtId="0" fontId="3" fillId="0" borderId="0" xfId="150" applyFont="1" applyFill="1" applyBorder="1" applyAlignment="1">
      <alignment horizontal="left" vertical="center" wrapText="1"/>
      <protection/>
    </xf>
    <xf numFmtId="0" fontId="3" fillId="0" borderId="0" xfId="150" applyFont="1" applyFill="1">
      <alignment/>
      <protection/>
    </xf>
    <xf numFmtId="0" fontId="7" fillId="0" borderId="0" xfId="150" applyFont="1" applyFill="1" applyBorder="1" applyAlignment="1">
      <alignment horizontal="center" vertical="center" wrapText="1"/>
      <protection/>
    </xf>
    <xf numFmtId="49" fontId="7" fillId="0" borderId="1" xfId="150" applyNumberFormat="1" applyFont="1" applyFill="1" applyBorder="1" applyAlignment="1">
      <alignment horizontal="center" vertical="center" wrapText="1"/>
      <protection/>
    </xf>
    <xf numFmtId="0" fontId="7" fillId="0" borderId="1" xfId="150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49" fontId="7" fillId="0" borderId="1" xfId="150" applyNumberFormat="1" applyFont="1" applyFill="1" applyBorder="1" applyAlignment="1">
      <alignment horizontal="center" vertical="center"/>
      <protection/>
    </xf>
    <xf numFmtId="0" fontId="7" fillId="0" borderId="1" xfId="150" applyFont="1" applyFill="1" applyBorder="1" applyAlignment="1">
      <alignment horizontal="justify" vertical="center" wrapText="1"/>
      <protection/>
    </xf>
    <xf numFmtId="168" fontId="7" fillId="0" borderId="1" xfId="150" applyNumberFormat="1" applyFont="1" applyFill="1" applyBorder="1" applyAlignment="1">
      <alignment horizontal="center" vertical="center"/>
      <protection/>
    </xf>
    <xf numFmtId="49" fontId="3" fillId="0" borderId="1" xfId="150" applyNumberFormat="1" applyFont="1" applyFill="1" applyBorder="1" applyAlignment="1">
      <alignment horizontal="center" vertical="center"/>
      <protection/>
    </xf>
    <xf numFmtId="0" fontId="3" fillId="0" borderId="1" xfId="150" applyFont="1" applyFill="1" applyBorder="1" applyAlignment="1">
      <alignment horizontal="justify" vertical="center" wrapText="1"/>
      <protection/>
    </xf>
    <xf numFmtId="168" fontId="3" fillId="0" borderId="1" xfId="150" applyNumberFormat="1" applyFont="1" applyFill="1" applyBorder="1" applyAlignment="1">
      <alignment horizontal="center" vertical="center"/>
      <protection/>
    </xf>
    <xf numFmtId="0" fontId="3" fillId="0" borderId="1" xfId="150" applyFont="1" applyFill="1" applyBorder="1" applyAlignment="1">
      <alignment horizontal="justify" vertical="top" wrapText="1"/>
      <protection/>
    </xf>
    <xf numFmtId="0" fontId="3" fillId="0" borderId="1" xfId="150" applyFont="1" applyFill="1" applyBorder="1" applyAlignment="1">
      <alignment horizontal="left" vertical="top" wrapText="1"/>
      <protection/>
    </xf>
    <xf numFmtId="168" fontId="18" fillId="0" borderId="1" xfId="70" applyNumberFormat="1" applyFont="1" applyFill="1" applyBorder="1" applyAlignment="1">
      <alignment horizontal="center" vertical="center"/>
      <protection/>
    </xf>
    <xf numFmtId="49" fontId="7" fillId="0" borderId="1" xfId="150" applyNumberFormat="1" applyFont="1" applyBorder="1" applyAlignment="1">
      <alignment horizontal="center" vertical="center"/>
      <protection/>
    </xf>
    <xf numFmtId="49" fontId="3" fillId="0" borderId="1" xfId="150" applyNumberFormat="1" applyFont="1" applyBorder="1" applyAlignment="1">
      <alignment horizontal="center" vertical="center"/>
      <protection/>
    </xf>
    <xf numFmtId="167" fontId="3" fillId="0" borderId="14" xfId="79" applyNumberFormat="1" applyFont="1" applyFill="1" applyBorder="1" applyAlignment="1" applyProtection="1">
      <alignment horizontal="center" vertical="center"/>
      <protection/>
    </xf>
    <xf numFmtId="167" fontId="3" fillId="0" borderId="14" xfId="70" applyNumberFormat="1" applyFont="1" applyFill="1" applyBorder="1" applyAlignment="1">
      <alignment horizontal="center" vertical="center" wrapText="1"/>
      <protection/>
    </xf>
    <xf numFmtId="168" fontId="3" fillId="0" borderId="1" xfId="150" applyNumberFormat="1" applyFont="1" applyFill="1" applyBorder="1" applyAlignment="1">
      <alignment horizontal="center" vertical="center" wrapText="1"/>
      <protection/>
    </xf>
    <xf numFmtId="0" fontId="3" fillId="0" borderId="1" xfId="150" applyFont="1" applyBorder="1" applyAlignment="1">
      <alignment horizontal="center" vertical="center"/>
      <protection/>
    </xf>
    <xf numFmtId="0" fontId="3" fillId="0" borderId="1" xfId="150" applyFont="1" applyFill="1" applyBorder="1" applyAlignment="1">
      <alignment horizontal="left" vertical="center" wrapText="1"/>
      <protection/>
    </xf>
    <xf numFmtId="0" fontId="3" fillId="0" borderId="1" xfId="150" applyFont="1" applyFill="1" applyBorder="1" applyAlignment="1">
      <alignment horizontal="left" wrapText="1"/>
      <protection/>
    </xf>
    <xf numFmtId="0" fontId="7" fillId="0" borderId="1" xfId="150" applyFont="1" applyFill="1" applyBorder="1" applyAlignment="1">
      <alignment horizontal="center" vertical="center"/>
      <protection/>
    </xf>
    <xf numFmtId="0" fontId="7" fillId="0" borderId="1" xfId="150" applyFont="1" applyFill="1" applyBorder="1" applyAlignment="1">
      <alignment horizontal="left" wrapText="1"/>
      <protection/>
    </xf>
    <xf numFmtId="0" fontId="7" fillId="0" borderId="1" xfId="150" applyFont="1" applyBorder="1" applyAlignment="1">
      <alignment horizontal="center" vertical="center"/>
      <protection/>
    </xf>
    <xf numFmtId="0" fontId="7" fillId="0" borderId="1" xfId="150" applyFont="1" applyFill="1" applyBorder="1" applyAlignment="1">
      <alignment horizontal="justify" vertical="top" wrapText="1"/>
      <protection/>
    </xf>
    <xf numFmtId="49" fontId="3" fillId="0" borderId="1" xfId="150" applyNumberFormat="1" applyFont="1" applyFill="1" applyBorder="1" applyAlignment="1">
      <alignment horizontal="center" vertical="center" wrapText="1"/>
      <protection/>
    </xf>
    <xf numFmtId="0" fontId="7" fillId="0" borderId="1" xfId="150" applyNumberFormat="1" applyFont="1" applyFill="1" applyBorder="1" applyAlignment="1" applyProtection="1">
      <alignment horizontal="center" vertical="center"/>
      <protection/>
    </xf>
    <xf numFmtId="0" fontId="7" fillId="0" borderId="1" xfId="150" applyNumberFormat="1" applyFont="1" applyFill="1" applyBorder="1" applyAlignment="1" applyProtection="1">
      <alignment horizontal="justify" vertical="center" wrapText="1"/>
      <protection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justify" vertical="center" wrapText="1"/>
    </xf>
    <xf numFmtId="168" fontId="7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168" fontId="3" fillId="0" borderId="15" xfId="0" applyNumberFormat="1" applyFont="1" applyBorder="1" applyAlignment="1">
      <alignment horizontal="center" vertical="center"/>
    </xf>
    <xf numFmtId="0" fontId="7" fillId="0" borderId="1" xfId="151" applyNumberFormat="1" applyFont="1" applyFill="1" applyBorder="1" applyAlignment="1" applyProtection="1">
      <alignment horizontal="center" vertical="center"/>
      <protection/>
    </xf>
    <xf numFmtId="0" fontId="7" fillId="0" borderId="1" xfId="151" applyNumberFormat="1" applyFont="1" applyFill="1" applyBorder="1" applyAlignment="1" applyProtection="1">
      <alignment horizontal="justify" vertical="center" wrapText="1"/>
      <protection/>
    </xf>
    <xf numFmtId="0" fontId="3" fillId="0" borderId="1" xfId="151" applyNumberFormat="1" applyFont="1" applyFill="1" applyBorder="1" applyAlignment="1" applyProtection="1">
      <alignment horizontal="center" vertical="center"/>
      <protection/>
    </xf>
    <xf numFmtId="0" fontId="3" fillId="0" borderId="1" xfId="151" applyNumberFormat="1" applyFont="1" applyFill="1" applyBorder="1" applyAlignment="1" applyProtection="1">
      <alignment horizontal="justify" vertical="center" wrapText="1"/>
      <protection/>
    </xf>
    <xf numFmtId="0" fontId="3" fillId="0" borderId="1" xfId="150" applyNumberFormat="1" applyFont="1" applyFill="1" applyBorder="1" applyAlignment="1" applyProtection="1">
      <alignment horizontal="center" vertical="center" wrapText="1"/>
      <protection/>
    </xf>
    <xf numFmtId="0" fontId="3" fillId="0" borderId="1" xfId="151" applyNumberFormat="1" applyFont="1" applyFill="1" applyBorder="1" applyAlignment="1" applyProtection="1">
      <alignment horizontal="left" vertical="top" wrapText="1"/>
      <protection/>
    </xf>
    <xf numFmtId="0" fontId="3" fillId="0" borderId="1" xfId="150" applyNumberFormat="1" applyFont="1" applyFill="1" applyBorder="1" applyAlignment="1" applyProtection="1">
      <alignment horizontal="justify" vertical="center" wrapText="1"/>
      <protection/>
    </xf>
    <xf numFmtId="0" fontId="3" fillId="0" borderId="1" xfId="150" applyNumberFormat="1" applyFont="1" applyFill="1" applyBorder="1" applyAlignment="1" applyProtection="1">
      <alignment horizontal="center" vertical="center"/>
      <protection/>
    </xf>
    <xf numFmtId="0" fontId="3" fillId="0" borderId="1" xfId="150" applyNumberFormat="1" applyFont="1" applyFill="1" applyBorder="1" applyAlignment="1" applyProtection="1">
      <alignment horizontal="justify" vertical="top" wrapText="1"/>
      <protection/>
    </xf>
    <xf numFmtId="49" fontId="3" fillId="0" borderId="1" xfId="152" applyNumberFormat="1" applyFont="1" applyFill="1" applyBorder="1" applyAlignment="1">
      <alignment horizontal="center" vertical="center"/>
      <protection/>
    </xf>
    <xf numFmtId="0" fontId="3" fillId="0" borderId="1" xfId="152" applyNumberFormat="1" applyFont="1" applyFill="1" applyBorder="1" applyAlignment="1" applyProtection="1">
      <alignment horizontal="justify" vertical="center" wrapText="1"/>
      <protection/>
    </xf>
    <xf numFmtId="49" fontId="3" fillId="0" borderId="1" xfId="151" applyNumberFormat="1" applyFont="1" applyFill="1" applyBorder="1" applyAlignment="1">
      <alignment horizontal="center" vertical="center"/>
      <protection/>
    </xf>
    <xf numFmtId="49" fontId="3" fillId="0" borderId="1" xfId="152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18" fillId="0" borderId="0" xfId="150" applyFont="1">
      <alignment/>
      <protection/>
    </xf>
    <xf numFmtId="0" fontId="5" fillId="0" borderId="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15" fillId="0" borderId="0" xfId="150" applyFont="1" applyFill="1">
      <alignment/>
      <protection/>
    </xf>
    <xf numFmtId="0" fontId="15" fillId="0" borderId="0" xfId="150" applyFont="1">
      <alignment/>
      <protection/>
    </xf>
    <xf numFmtId="0" fontId="3" fillId="0" borderId="1" xfId="152" applyFont="1" applyFill="1" applyBorder="1" applyAlignment="1">
      <alignment horizontal="center"/>
      <protection/>
    </xf>
    <xf numFmtId="0" fontId="3" fillId="0" borderId="1" xfId="152" applyFont="1" applyFill="1" applyBorder="1" applyAlignment="1">
      <alignment vertical="center" wrapText="1"/>
      <protection/>
    </xf>
    <xf numFmtId="0" fontId="7" fillId="0" borderId="1" xfId="152" applyFont="1" applyFill="1" applyBorder="1" applyAlignment="1">
      <alignment horizontal="center"/>
      <protection/>
    </xf>
    <xf numFmtId="0" fontId="7" fillId="0" borderId="1" xfId="152" applyFont="1" applyFill="1" applyBorder="1" applyAlignment="1">
      <alignment vertical="center" wrapText="1"/>
      <protection/>
    </xf>
    <xf numFmtId="0" fontId="7" fillId="0" borderId="1" xfId="150" applyFont="1" applyFill="1" applyBorder="1" applyAlignment="1">
      <alignment horizontal="left" vertical="center" wrapText="1"/>
      <protection/>
    </xf>
    <xf numFmtId="2" fontId="3" fillId="0" borderId="0" xfId="150" applyNumberFormat="1" applyFont="1" applyFill="1">
      <alignment/>
      <protection/>
    </xf>
    <xf numFmtId="0" fontId="18" fillId="0" borderId="0" xfId="150" applyFont="1" applyFill="1" applyAlignment="1">
      <alignment wrapText="1"/>
      <protection/>
    </xf>
    <xf numFmtId="4" fontId="3" fillId="0" borderId="0" xfId="150" applyNumberFormat="1" applyFont="1" applyFill="1">
      <alignment/>
      <protection/>
    </xf>
    <xf numFmtId="0" fontId="3" fillId="0" borderId="0" xfId="153" applyFont="1" applyFill="1" applyAlignment="1">
      <alignment horizontal="center" vertical="center" wrapText="1"/>
      <protection/>
    </xf>
    <xf numFmtId="0" fontId="3" fillId="0" borderId="0" xfId="153" applyFont="1" applyFill="1" applyAlignment="1">
      <alignment/>
      <protection/>
    </xf>
    <xf numFmtId="0" fontId="7" fillId="0" borderId="1" xfId="153" applyFont="1" applyFill="1" applyBorder="1" applyAlignment="1">
      <alignment horizontal="center" vertical="center" wrapText="1"/>
      <protection/>
    </xf>
    <xf numFmtId="0" fontId="7" fillId="0" borderId="0" xfId="153" applyFont="1" applyFill="1" applyAlignment="1">
      <alignment/>
      <protection/>
    </xf>
    <xf numFmtId="0" fontId="10" fillId="0" borderId="1" xfId="153" applyFont="1" applyFill="1" applyBorder="1" applyAlignment="1">
      <alignment horizontal="center" vertical="center" wrapText="1"/>
      <protection/>
    </xf>
    <xf numFmtId="0" fontId="3" fillId="0" borderId="1" xfId="153" applyFont="1" applyFill="1" applyBorder="1" applyAlignment="1">
      <alignment horizontal="justify" vertical="center" wrapText="1"/>
      <protection/>
    </xf>
    <xf numFmtId="2" fontId="3" fillId="0" borderId="1" xfId="153" applyNumberFormat="1" applyFont="1" applyFill="1" applyBorder="1" applyAlignment="1">
      <alignment horizontal="center" vertical="center" shrinkToFit="1"/>
      <protection/>
    </xf>
    <xf numFmtId="168" fontId="3" fillId="0" borderId="1" xfId="153" applyNumberFormat="1" applyFont="1" applyFill="1" applyBorder="1" applyAlignment="1">
      <alignment horizontal="center" vertical="center" shrinkToFit="1"/>
      <protection/>
    </xf>
    <xf numFmtId="0" fontId="16" fillId="0" borderId="1" xfId="153" applyFont="1" applyFill="1" applyBorder="1" applyAlignment="1">
      <alignment horizontal="center" vertical="center" wrapText="1"/>
      <protection/>
    </xf>
    <xf numFmtId="0" fontId="19" fillId="0" borderId="0" xfId="154" applyFont="1" applyFill="1">
      <alignment/>
      <protection/>
    </xf>
    <xf numFmtId="168" fontId="3" fillId="0" borderId="1" xfId="153" applyNumberFormat="1" applyFont="1" applyFill="1" applyBorder="1" applyAlignment="1">
      <alignment horizontal="center" vertical="center" wrapText="1"/>
      <protection/>
    </xf>
    <xf numFmtId="0" fontId="3" fillId="0" borderId="1" xfId="155" applyNumberFormat="1" applyFont="1" applyFill="1" applyBorder="1" applyAlignment="1" applyProtection="1">
      <alignment horizontal="justify" vertical="center" wrapText="1"/>
      <protection/>
    </xf>
    <xf numFmtId="49" fontId="3" fillId="0" borderId="1" xfId="155" applyNumberFormat="1" applyFont="1" applyFill="1" applyBorder="1" applyAlignment="1">
      <alignment horizontal="center" vertical="center" wrapText="1"/>
      <protection/>
    </xf>
    <xf numFmtId="0" fontId="3" fillId="0" borderId="1" xfId="153" applyNumberFormat="1" applyFont="1" applyFill="1" applyBorder="1" applyAlignment="1" applyProtection="1">
      <alignment horizontal="justify" vertical="center" wrapText="1"/>
      <protection/>
    </xf>
    <xf numFmtId="49" fontId="3" fillId="0" borderId="1" xfId="153" applyNumberFormat="1" applyFont="1" applyFill="1" applyBorder="1" applyAlignment="1">
      <alignment horizontal="center" vertical="center" shrinkToFit="1"/>
      <protection/>
    </xf>
    <xf numFmtId="2" fontId="3" fillId="0" borderId="7" xfId="0" applyNumberFormat="1" applyFont="1" applyBorder="1" applyAlignment="1">
      <alignment horizontal="center" vertical="center" shrinkToFit="1"/>
    </xf>
    <xf numFmtId="49" fontId="3" fillId="0" borderId="1" xfId="153" applyNumberFormat="1" applyFont="1" applyFill="1" applyBorder="1" applyAlignment="1">
      <alignment horizontal="justify" vertical="center" wrapText="1"/>
      <protection/>
    </xf>
    <xf numFmtId="4" fontId="7" fillId="0" borderId="0" xfId="153" applyNumberFormat="1" applyFont="1" applyFill="1" applyAlignment="1">
      <alignment/>
      <protection/>
    </xf>
    <xf numFmtId="49" fontId="7" fillId="0" borderId="1" xfId="153" applyNumberFormat="1" applyFont="1" applyFill="1" applyBorder="1" applyAlignment="1">
      <alignment horizontal="center" vertical="center" shrinkToFit="1"/>
      <protection/>
    </xf>
    <xf numFmtId="4" fontId="3" fillId="0" borderId="0" xfId="153" applyNumberFormat="1" applyFont="1" applyFill="1" applyAlignment="1">
      <alignment/>
      <protection/>
    </xf>
    <xf numFmtId="49" fontId="16" fillId="0" borderId="1" xfId="153" applyNumberFormat="1" applyFont="1" applyFill="1" applyBorder="1" applyAlignment="1">
      <alignment horizontal="center" vertical="center" shrinkToFit="1"/>
      <protection/>
    </xf>
    <xf numFmtId="0" fontId="3" fillId="0" borderId="11" xfId="153" applyFont="1" applyFill="1" applyBorder="1" applyAlignment="1">
      <alignment horizontal="justify" vertical="center" wrapText="1"/>
      <protection/>
    </xf>
    <xf numFmtId="168" fontId="3" fillId="0" borderId="7" xfId="153" applyNumberFormat="1" applyFont="1" applyFill="1" applyBorder="1" applyAlignment="1">
      <alignment horizontal="center" vertical="center" shrinkToFit="1"/>
      <protection/>
    </xf>
    <xf numFmtId="49" fontId="10" fillId="0" borderId="1" xfId="153" applyNumberFormat="1" applyFont="1" applyFill="1" applyBorder="1" applyAlignment="1">
      <alignment horizontal="center" vertical="center" shrinkToFit="1"/>
      <protection/>
    </xf>
    <xf numFmtId="168" fontId="3" fillId="0" borderId="0" xfId="153" applyNumberFormat="1" applyFont="1" applyFill="1" applyAlignment="1">
      <alignment/>
      <protection/>
    </xf>
    <xf numFmtId="0" fontId="3" fillId="0" borderId="0" xfId="153" applyFont="1" applyFill="1" applyAlignment="1">
      <alignment horizontal="center" vertical="center"/>
      <protection/>
    </xf>
    <xf numFmtId="168" fontId="16" fillId="0" borderId="0" xfId="153" applyNumberFormat="1" applyFont="1" applyFill="1" applyAlignment="1">
      <alignment/>
      <protection/>
    </xf>
    <xf numFmtId="0" fontId="3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150" applyFont="1" applyFill="1" applyBorder="1" applyAlignment="1">
      <alignment horizontal="right" vertical="center" wrapText="1"/>
      <protection/>
    </xf>
    <xf numFmtId="0" fontId="3" fillId="0" borderId="0" xfId="150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 wrapText="1"/>
    </xf>
    <xf numFmtId="0" fontId="3" fillId="0" borderId="0" xfId="153" applyFont="1" applyFill="1" applyAlignment="1">
      <alignment horizontal="right"/>
      <protection/>
    </xf>
    <xf numFmtId="0" fontId="7" fillId="0" borderId="0" xfId="153" applyFont="1" applyFill="1" applyAlignment="1">
      <alignment horizontal="center" wrapText="1"/>
      <protection/>
    </xf>
    <xf numFmtId="0" fontId="3" fillId="0" borderId="1" xfId="153" applyFont="1" applyFill="1" applyBorder="1" applyAlignment="1">
      <alignment horizontal="center" vertical="center" wrapText="1"/>
      <protection/>
    </xf>
    <xf numFmtId="168" fontId="3" fillId="0" borderId="1" xfId="153" applyNumberFormat="1" applyFont="1" applyFill="1" applyBorder="1" applyAlignment="1">
      <alignment horizontal="center" vertical="center" wrapText="1"/>
      <protection/>
    </xf>
    <xf numFmtId="0" fontId="7" fillId="0" borderId="11" xfId="153" applyFont="1" applyFill="1" applyBorder="1" applyAlignment="1">
      <alignment horizontal="center" vertical="center" wrapText="1"/>
      <protection/>
    </xf>
    <xf numFmtId="0" fontId="7" fillId="0" borderId="16" xfId="153" applyFont="1" applyFill="1" applyBorder="1" applyAlignment="1">
      <alignment horizontal="center" vertical="center" wrapText="1"/>
      <protection/>
    </xf>
    <xf numFmtId="0" fontId="7" fillId="0" borderId="7" xfId="153" applyFont="1" applyFill="1" applyBorder="1" applyAlignment="1">
      <alignment horizontal="center" vertical="center" wrapText="1"/>
      <protection/>
    </xf>
    <xf numFmtId="0" fontId="7" fillId="0" borderId="1" xfId="153" applyFont="1" applyFill="1" applyBorder="1" applyAlignment="1">
      <alignment horizontal="center" vertical="center" wrapText="1"/>
      <protection/>
    </xf>
    <xf numFmtId="0" fontId="7" fillId="0" borderId="1" xfId="153" applyFont="1" applyFill="1" applyBorder="1" applyAlignment="1">
      <alignment horizontal="center" vertical="top" wrapText="1"/>
      <protection/>
    </xf>
    <xf numFmtId="0" fontId="8" fillId="0" borderId="0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7" fillId="0" borderId="17" xfId="31" applyNumberFormat="1" applyFont="1" applyFill="1" applyBorder="1" applyAlignment="1">
      <alignment horizontal="center" vertical="center" wrapText="1"/>
      <protection/>
    </xf>
    <xf numFmtId="0" fontId="3" fillId="0" borderId="0" xfId="31" applyNumberFormat="1" applyFont="1" applyFill="1" applyAlignment="1">
      <alignment horizontal="right" vertical="top" wrapText="1"/>
      <protection/>
    </xf>
    <xf numFmtId="0" fontId="8" fillId="0" borderId="18" xfId="31" applyNumberFormat="1" applyFont="1" applyFill="1" applyBorder="1" applyAlignment="1">
      <alignment horizontal="center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7" fillId="0" borderId="0" xfId="135" applyFont="1" applyAlignment="1">
      <alignment horizontal="center"/>
      <protection/>
    </xf>
    <xf numFmtId="0" fontId="3" fillId="0" borderId="1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16" xfId="128" applyFont="1" applyBorder="1" applyAlignment="1">
      <alignment horizontal="center" vertical="center" wrapText="1"/>
      <protection/>
    </xf>
    <xf numFmtId="0" fontId="3" fillId="0" borderId="7" xfId="128" applyFont="1" applyBorder="1" applyAlignment="1">
      <alignment horizontal="center" vertical="center" wrapText="1"/>
      <protection/>
    </xf>
    <xf numFmtId="0" fontId="3" fillId="0" borderId="6" xfId="135" applyFont="1" applyBorder="1" applyAlignment="1">
      <alignment horizontal="center" vertical="center" wrapText="1"/>
      <protection/>
    </xf>
    <xf numFmtId="0" fontId="3" fillId="0" borderId="5" xfId="135" applyFont="1" applyBorder="1" applyAlignment="1">
      <alignment horizontal="center" vertical="center" wrapText="1"/>
      <protection/>
    </xf>
    <xf numFmtId="0" fontId="3" fillId="0" borderId="0" xfId="149" applyFont="1" applyAlignment="1">
      <alignment horizontal="left" vertical="center" wrapText="1"/>
      <protection/>
    </xf>
    <xf numFmtId="0" fontId="17" fillId="0" borderId="0" xfId="149" applyFont="1" applyAlignment="1">
      <alignment horizontal="left" vertical="top" wrapText="1"/>
      <protection/>
    </xf>
    <xf numFmtId="0" fontId="3" fillId="0" borderId="0" xfId="149" applyFont="1" applyAlignment="1">
      <alignment horizontal="right" vertical="top" wrapText="1"/>
      <protection/>
    </xf>
    <xf numFmtId="169" fontId="3" fillId="0" borderId="0" xfId="109" applyNumberFormat="1" applyFont="1" applyAlignment="1">
      <alignment horizontal="right" vertical="top" wrapText="1"/>
    </xf>
    <xf numFmtId="0" fontId="7" fillId="0" borderId="0" xfId="149" applyFont="1" applyAlignment="1">
      <alignment horizontal="center" vertical="top" wrapText="1"/>
      <protection/>
    </xf>
    <xf numFmtId="0" fontId="16" fillId="0" borderId="0" xfId="149" applyFont="1" applyAlignment="1">
      <alignment horizontal="left" vertical="center" wrapText="1"/>
      <protection/>
    </xf>
    <xf numFmtId="0" fontId="3" fillId="0" borderId="0" xfId="149" applyFont="1" applyAlignment="1">
      <alignment horizontal="left" vertical="top" wrapText="1"/>
      <protection/>
    </xf>
  </cellXfs>
  <cellStyles count="1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2 8 2 3 3 3 2 2 2 3 2 2 2 2 2 2" xfId="146"/>
    <cellStyle name="Обычный 2 8 7 4 2 2 3 2 2 2 2 2 2" xfId="147"/>
    <cellStyle name="Обычный 2 8 2 3 3 3 2 2 3 2 2 2 2" xfId="148"/>
    <cellStyle name="Обычный_приложение_Программа госзаимствований 2003" xfId="149"/>
    <cellStyle name="Обычный 2 8 2 3 3 3 2 2 2 3 2 2 2 2 2 3" xfId="150"/>
    <cellStyle name="Обычный 2 8 7 4 2 2 3 2 2 2 2 2 3" xfId="151"/>
    <cellStyle name="Обычный 2 8 2 3 3 3 2 2 3 2 2 2 3" xfId="152"/>
    <cellStyle name="Обычный 10 2 2" xfId="153"/>
    <cellStyle name="Обычный 11 2 2" xfId="154"/>
    <cellStyle name="Обычный 2 8 7 3 3 3 2 2 4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60" workbookViewId="0" topLeftCell="A1">
      <selection activeCell="A3" sqref="A3:D3"/>
    </sheetView>
  </sheetViews>
  <sheetFormatPr defaultColWidth="9.125" defaultRowHeight="12.75"/>
  <cols>
    <col min="1" max="1" width="30.625" style="219" customWidth="1"/>
    <col min="2" max="2" width="51.625" style="219" customWidth="1"/>
    <col min="3" max="3" width="13.875" style="230" customWidth="1"/>
    <col min="4" max="4" width="11.75390625" style="219" customWidth="1"/>
    <col min="5" max="5" width="9.125" style="219" customWidth="1"/>
    <col min="6" max="6" width="11.75390625" style="219" bestFit="1" customWidth="1"/>
    <col min="7" max="16384" width="9.125" style="219" customWidth="1"/>
  </cols>
  <sheetData>
    <row r="1" spans="1:4" ht="12.75">
      <c r="A1" s="400" t="s">
        <v>388</v>
      </c>
      <c r="B1" s="400"/>
      <c r="C1" s="400"/>
      <c r="D1" s="400"/>
    </row>
    <row r="2" spans="1:4" ht="12.75">
      <c r="A2" s="400" t="s">
        <v>389</v>
      </c>
      <c r="B2" s="400"/>
      <c r="C2" s="400"/>
      <c r="D2" s="400"/>
    </row>
    <row r="3" spans="1:4" ht="12.75">
      <c r="A3" s="400" t="s">
        <v>1055</v>
      </c>
      <c r="B3" s="400"/>
      <c r="C3" s="400"/>
      <c r="D3" s="400"/>
    </row>
    <row r="5" spans="1:4" ht="12.75">
      <c r="A5" s="402" t="s">
        <v>390</v>
      </c>
      <c r="B5" s="402"/>
      <c r="C5" s="402"/>
      <c r="D5" s="402"/>
    </row>
    <row r="6" spans="1:4" ht="12.75">
      <c r="A6" s="402" t="s">
        <v>456</v>
      </c>
      <c r="B6" s="402"/>
      <c r="C6" s="402"/>
      <c r="D6" s="402"/>
    </row>
    <row r="8" spans="1:4" ht="47.25">
      <c r="A8" s="259" t="s">
        <v>391</v>
      </c>
      <c r="B8" s="260" t="s">
        <v>20</v>
      </c>
      <c r="C8" s="262" t="s">
        <v>457</v>
      </c>
      <c r="D8" s="11" t="s">
        <v>458</v>
      </c>
    </row>
    <row r="9" spans="1:4" ht="12.75">
      <c r="A9" s="220" t="s">
        <v>4</v>
      </c>
      <c r="B9" s="221">
        <v>2</v>
      </c>
      <c r="C9" s="221">
        <v>3</v>
      </c>
      <c r="D9" s="222">
        <v>4</v>
      </c>
    </row>
    <row r="10" spans="1:4" ht="31.5">
      <c r="A10" s="223" t="s">
        <v>392</v>
      </c>
      <c r="B10" s="224" t="s">
        <v>393</v>
      </c>
      <c r="C10" s="225">
        <f>C14+C11</f>
        <v>2000</v>
      </c>
      <c r="D10" s="225">
        <f>D14+D11</f>
        <v>2000</v>
      </c>
    </row>
    <row r="11" spans="1:4" ht="47.25">
      <c r="A11" s="214" t="s">
        <v>394</v>
      </c>
      <c r="B11" s="56" t="s">
        <v>395</v>
      </c>
      <c r="C11" s="226">
        <f>C13+C12</f>
        <v>46577</v>
      </c>
      <c r="D11" s="226">
        <f aca="true" t="shared" si="0" ref="D11">D13+D12</f>
        <v>14000</v>
      </c>
    </row>
    <row r="12" spans="1:4" ht="63">
      <c r="A12" s="214" t="s">
        <v>434</v>
      </c>
      <c r="B12" s="56" t="s">
        <v>435</v>
      </c>
      <c r="C12" s="226">
        <v>14000</v>
      </c>
      <c r="D12" s="226">
        <v>14000</v>
      </c>
    </row>
    <row r="13" spans="1:4" ht="47.25">
      <c r="A13" s="214" t="s">
        <v>396</v>
      </c>
      <c r="B13" s="56" t="s">
        <v>397</v>
      </c>
      <c r="C13" s="226">
        <v>32577</v>
      </c>
      <c r="D13" s="226">
        <v>0</v>
      </c>
    </row>
    <row r="14" spans="1:4" ht="63">
      <c r="A14" s="214" t="s">
        <v>398</v>
      </c>
      <c r="B14" s="56" t="s">
        <v>399</v>
      </c>
      <c r="C14" s="226">
        <f>C15+C16</f>
        <v>-44577</v>
      </c>
      <c r="D14" s="226">
        <f aca="true" t="shared" si="1" ref="D14">D15+D16</f>
        <v>-12000</v>
      </c>
    </row>
    <row r="15" spans="1:4" ht="63">
      <c r="A15" s="214" t="s">
        <v>400</v>
      </c>
      <c r="B15" s="56" t="s">
        <v>401</v>
      </c>
      <c r="C15" s="226">
        <v>-12000</v>
      </c>
      <c r="D15" s="226">
        <v>-12000</v>
      </c>
    </row>
    <row r="16" spans="1:4" ht="63">
      <c r="A16" s="214" t="s">
        <v>402</v>
      </c>
      <c r="B16" s="56" t="s">
        <v>403</v>
      </c>
      <c r="C16" s="226">
        <v>-32577</v>
      </c>
      <c r="D16" s="226">
        <v>0</v>
      </c>
    </row>
    <row r="17" spans="1:4" ht="31.5">
      <c r="A17" s="223" t="s">
        <v>404</v>
      </c>
      <c r="B17" s="224" t="s">
        <v>405</v>
      </c>
      <c r="C17" s="225">
        <v>24768.9</v>
      </c>
      <c r="D17" s="225">
        <f aca="true" t="shared" si="2" ref="D17">D18+D21</f>
        <v>2389.6999999999534</v>
      </c>
    </row>
    <row r="18" spans="1:4" ht="12.75">
      <c r="A18" s="214" t="s">
        <v>406</v>
      </c>
      <c r="B18" s="56" t="s">
        <v>407</v>
      </c>
      <c r="C18" s="226">
        <f aca="true" t="shared" si="3" ref="C18:D19">C19</f>
        <v>-981368</v>
      </c>
      <c r="D18" s="226">
        <f t="shared" si="3"/>
        <v>-969593.8</v>
      </c>
    </row>
    <row r="19" spans="1:4" ht="12.75">
      <c r="A19" s="214" t="s">
        <v>408</v>
      </c>
      <c r="B19" s="56" t="s">
        <v>409</v>
      </c>
      <c r="C19" s="226">
        <f t="shared" si="3"/>
        <v>-981368</v>
      </c>
      <c r="D19" s="226">
        <f t="shared" si="3"/>
        <v>-969593.8</v>
      </c>
    </row>
    <row r="20" spans="1:4" ht="31.5">
      <c r="A20" s="214" t="s">
        <v>410</v>
      </c>
      <c r="B20" s="56" t="s">
        <v>411</v>
      </c>
      <c r="C20" s="226">
        <f>-(934472.7+46577)-10.9-307.4</f>
        <v>-981368</v>
      </c>
      <c r="D20" s="156">
        <v>-969593.8</v>
      </c>
    </row>
    <row r="21" spans="1:4" ht="12.75">
      <c r="A21" s="214" t="s">
        <v>412</v>
      </c>
      <c r="B21" s="56" t="s">
        <v>413</v>
      </c>
      <c r="C21" s="226">
        <f aca="true" t="shared" si="4" ref="C21:D22">C22</f>
        <v>1003275.5</v>
      </c>
      <c r="D21" s="226">
        <f t="shared" si="4"/>
        <v>971983.5</v>
      </c>
    </row>
    <row r="22" spans="1:4" ht="12.75">
      <c r="A22" s="214" t="s">
        <v>414</v>
      </c>
      <c r="B22" s="56" t="s">
        <v>415</v>
      </c>
      <c r="C22" s="226">
        <f>C23</f>
        <v>1003275.5</v>
      </c>
      <c r="D22" s="226">
        <f t="shared" si="4"/>
        <v>971983.5</v>
      </c>
    </row>
    <row r="23" spans="1:4" ht="31.5">
      <c r="A23" s="214" t="s">
        <v>416</v>
      </c>
      <c r="B23" s="56" t="s">
        <v>417</v>
      </c>
      <c r="C23" s="304">
        <v>1003275.5</v>
      </c>
      <c r="D23" s="227">
        <v>971983.5</v>
      </c>
    </row>
    <row r="24" spans="1:4" ht="12.75">
      <c r="A24" s="401" t="s">
        <v>418</v>
      </c>
      <c r="B24" s="401"/>
      <c r="C24" s="225">
        <f>C17+C10</f>
        <v>26768.9</v>
      </c>
      <c r="D24" s="225">
        <f>D17+D10</f>
        <v>4389.699999999953</v>
      </c>
    </row>
    <row r="26" spans="1:2" ht="12.75">
      <c r="A26" s="228"/>
      <c r="B26" s="229"/>
    </row>
    <row r="27" ht="12.75">
      <c r="B27" s="231"/>
    </row>
  </sheetData>
  <mergeCells count="6">
    <mergeCell ref="A1:D1"/>
    <mergeCell ref="A2:D2"/>
    <mergeCell ref="A3:D3"/>
    <mergeCell ref="A24:B24"/>
    <mergeCell ref="A5:D5"/>
    <mergeCell ref="A6:D6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view="pageBreakPreview" zoomScale="80" zoomScaleSheetLayoutView="80" workbookViewId="0" topLeftCell="A1">
      <selection activeCell="A1" sqref="A1:L1"/>
    </sheetView>
  </sheetViews>
  <sheetFormatPr defaultColWidth="9.125" defaultRowHeight="12.75"/>
  <cols>
    <col min="1" max="1" width="6.25390625" style="160" customWidth="1"/>
    <col min="2" max="2" width="44.875" style="161" customWidth="1"/>
    <col min="3" max="3" width="21.25390625" style="161" customWidth="1"/>
    <col min="4" max="4" width="9.625" style="162" customWidth="1"/>
    <col min="5" max="5" width="11.75390625" style="162" customWidth="1"/>
    <col min="6" max="6" width="14.00390625" style="162" customWidth="1"/>
    <col min="7" max="7" width="10.875" style="163" customWidth="1"/>
    <col min="8" max="8" width="12.25390625" style="162" bestFit="1" customWidth="1"/>
    <col min="9" max="9" width="12.125" style="162" customWidth="1"/>
    <col min="10" max="10" width="12.75390625" style="162" customWidth="1"/>
    <col min="11" max="11" width="9.25390625" style="163" customWidth="1"/>
    <col min="12" max="12" width="14.875" style="162" customWidth="1"/>
    <col min="13" max="252" width="9.125" style="161" customWidth="1"/>
    <col min="253" max="253" width="5.625" style="161" customWidth="1"/>
    <col min="254" max="254" width="33.625" style="161" customWidth="1"/>
    <col min="255" max="255" width="15.625" style="161" customWidth="1"/>
    <col min="256" max="256" width="9.625" style="161" customWidth="1"/>
    <col min="257" max="257" width="11.75390625" style="161" customWidth="1"/>
    <col min="258" max="258" width="13.125" style="161" customWidth="1"/>
    <col min="259" max="259" width="10.875" style="161" customWidth="1"/>
    <col min="260" max="260" width="9.25390625" style="161" bestFit="1" customWidth="1"/>
    <col min="261" max="261" width="12.125" style="161" customWidth="1"/>
    <col min="262" max="262" width="12.75390625" style="161" customWidth="1"/>
    <col min="263" max="263" width="9.25390625" style="161" customWidth="1"/>
    <col min="264" max="264" width="9.25390625" style="161" bestFit="1" customWidth="1"/>
    <col min="265" max="265" width="13.125" style="161" customWidth="1"/>
    <col min="266" max="266" width="13.625" style="161" customWidth="1"/>
    <col min="267" max="267" width="9.625" style="161" customWidth="1"/>
    <col min="268" max="268" width="14.875" style="161" customWidth="1"/>
    <col min="269" max="508" width="9.125" style="161" customWidth="1"/>
    <col min="509" max="509" width="5.625" style="161" customWidth="1"/>
    <col min="510" max="510" width="33.625" style="161" customWidth="1"/>
    <col min="511" max="511" width="15.625" style="161" customWidth="1"/>
    <col min="512" max="512" width="9.625" style="161" customWidth="1"/>
    <col min="513" max="513" width="11.75390625" style="161" customWidth="1"/>
    <col min="514" max="514" width="13.125" style="161" customWidth="1"/>
    <col min="515" max="515" width="10.875" style="161" customWidth="1"/>
    <col min="516" max="516" width="9.25390625" style="161" bestFit="1" customWidth="1"/>
    <col min="517" max="517" width="12.125" style="161" customWidth="1"/>
    <col min="518" max="518" width="12.75390625" style="161" customWidth="1"/>
    <col min="519" max="519" width="9.25390625" style="161" customWidth="1"/>
    <col min="520" max="520" width="9.25390625" style="161" bestFit="1" customWidth="1"/>
    <col min="521" max="521" width="13.125" style="161" customWidth="1"/>
    <col min="522" max="522" width="13.625" style="161" customWidth="1"/>
    <col min="523" max="523" width="9.625" style="161" customWidth="1"/>
    <col min="524" max="524" width="14.875" style="161" customWidth="1"/>
    <col min="525" max="764" width="9.125" style="161" customWidth="1"/>
    <col min="765" max="765" width="5.625" style="161" customWidth="1"/>
    <col min="766" max="766" width="33.625" style="161" customWidth="1"/>
    <col min="767" max="767" width="15.625" style="161" customWidth="1"/>
    <col min="768" max="768" width="9.625" style="161" customWidth="1"/>
    <col min="769" max="769" width="11.75390625" style="161" customWidth="1"/>
    <col min="770" max="770" width="13.125" style="161" customWidth="1"/>
    <col min="771" max="771" width="10.875" style="161" customWidth="1"/>
    <col min="772" max="772" width="9.25390625" style="161" bestFit="1" customWidth="1"/>
    <col min="773" max="773" width="12.125" style="161" customWidth="1"/>
    <col min="774" max="774" width="12.75390625" style="161" customWidth="1"/>
    <col min="775" max="775" width="9.25390625" style="161" customWidth="1"/>
    <col min="776" max="776" width="9.25390625" style="161" bestFit="1" customWidth="1"/>
    <col min="777" max="777" width="13.125" style="161" customWidth="1"/>
    <col min="778" max="778" width="13.625" style="161" customWidth="1"/>
    <col min="779" max="779" width="9.625" style="161" customWidth="1"/>
    <col min="780" max="780" width="14.875" style="161" customWidth="1"/>
    <col min="781" max="1020" width="9.125" style="161" customWidth="1"/>
    <col min="1021" max="1021" width="5.625" style="161" customWidth="1"/>
    <col min="1022" max="1022" width="33.625" style="161" customWidth="1"/>
    <col min="1023" max="1023" width="15.625" style="161" customWidth="1"/>
    <col min="1024" max="1024" width="9.625" style="161" customWidth="1"/>
    <col min="1025" max="1025" width="11.75390625" style="161" customWidth="1"/>
    <col min="1026" max="1026" width="13.125" style="161" customWidth="1"/>
    <col min="1027" max="1027" width="10.875" style="161" customWidth="1"/>
    <col min="1028" max="1028" width="9.25390625" style="161" bestFit="1" customWidth="1"/>
    <col min="1029" max="1029" width="12.125" style="161" customWidth="1"/>
    <col min="1030" max="1030" width="12.75390625" style="161" customWidth="1"/>
    <col min="1031" max="1031" width="9.25390625" style="161" customWidth="1"/>
    <col min="1032" max="1032" width="9.25390625" style="161" bestFit="1" customWidth="1"/>
    <col min="1033" max="1033" width="13.125" style="161" customWidth="1"/>
    <col min="1034" max="1034" width="13.625" style="161" customWidth="1"/>
    <col min="1035" max="1035" width="9.625" style="161" customWidth="1"/>
    <col min="1036" max="1036" width="14.875" style="161" customWidth="1"/>
    <col min="1037" max="1276" width="9.125" style="161" customWidth="1"/>
    <col min="1277" max="1277" width="5.625" style="161" customWidth="1"/>
    <col min="1278" max="1278" width="33.625" style="161" customWidth="1"/>
    <col min="1279" max="1279" width="15.625" style="161" customWidth="1"/>
    <col min="1280" max="1280" width="9.625" style="161" customWidth="1"/>
    <col min="1281" max="1281" width="11.75390625" style="161" customWidth="1"/>
    <col min="1282" max="1282" width="13.125" style="161" customWidth="1"/>
    <col min="1283" max="1283" width="10.875" style="161" customWidth="1"/>
    <col min="1284" max="1284" width="9.25390625" style="161" bestFit="1" customWidth="1"/>
    <col min="1285" max="1285" width="12.125" style="161" customWidth="1"/>
    <col min="1286" max="1286" width="12.75390625" style="161" customWidth="1"/>
    <col min="1287" max="1287" width="9.25390625" style="161" customWidth="1"/>
    <col min="1288" max="1288" width="9.25390625" style="161" bestFit="1" customWidth="1"/>
    <col min="1289" max="1289" width="13.125" style="161" customWidth="1"/>
    <col min="1290" max="1290" width="13.625" style="161" customWidth="1"/>
    <col min="1291" max="1291" width="9.625" style="161" customWidth="1"/>
    <col min="1292" max="1292" width="14.875" style="161" customWidth="1"/>
    <col min="1293" max="1532" width="9.125" style="161" customWidth="1"/>
    <col min="1533" max="1533" width="5.625" style="161" customWidth="1"/>
    <col min="1534" max="1534" width="33.625" style="161" customWidth="1"/>
    <col min="1535" max="1535" width="15.625" style="161" customWidth="1"/>
    <col min="1536" max="1536" width="9.625" style="161" customWidth="1"/>
    <col min="1537" max="1537" width="11.75390625" style="161" customWidth="1"/>
    <col min="1538" max="1538" width="13.125" style="161" customWidth="1"/>
    <col min="1539" max="1539" width="10.875" style="161" customWidth="1"/>
    <col min="1540" max="1540" width="9.25390625" style="161" bestFit="1" customWidth="1"/>
    <col min="1541" max="1541" width="12.125" style="161" customWidth="1"/>
    <col min="1542" max="1542" width="12.75390625" style="161" customWidth="1"/>
    <col min="1543" max="1543" width="9.25390625" style="161" customWidth="1"/>
    <col min="1544" max="1544" width="9.25390625" style="161" bestFit="1" customWidth="1"/>
    <col min="1545" max="1545" width="13.125" style="161" customWidth="1"/>
    <col min="1546" max="1546" width="13.625" style="161" customWidth="1"/>
    <col min="1547" max="1547" width="9.625" style="161" customWidth="1"/>
    <col min="1548" max="1548" width="14.875" style="161" customWidth="1"/>
    <col min="1549" max="1788" width="9.125" style="161" customWidth="1"/>
    <col min="1789" max="1789" width="5.625" style="161" customWidth="1"/>
    <col min="1790" max="1790" width="33.625" style="161" customWidth="1"/>
    <col min="1791" max="1791" width="15.625" style="161" customWidth="1"/>
    <col min="1792" max="1792" width="9.625" style="161" customWidth="1"/>
    <col min="1793" max="1793" width="11.75390625" style="161" customWidth="1"/>
    <col min="1794" max="1794" width="13.125" style="161" customWidth="1"/>
    <col min="1795" max="1795" width="10.875" style="161" customWidth="1"/>
    <col min="1796" max="1796" width="9.25390625" style="161" bestFit="1" customWidth="1"/>
    <col min="1797" max="1797" width="12.125" style="161" customWidth="1"/>
    <col min="1798" max="1798" width="12.75390625" style="161" customWidth="1"/>
    <col min="1799" max="1799" width="9.25390625" style="161" customWidth="1"/>
    <col min="1800" max="1800" width="9.25390625" style="161" bestFit="1" customWidth="1"/>
    <col min="1801" max="1801" width="13.125" style="161" customWidth="1"/>
    <col min="1802" max="1802" width="13.625" style="161" customWidth="1"/>
    <col min="1803" max="1803" width="9.625" style="161" customWidth="1"/>
    <col min="1804" max="1804" width="14.875" style="161" customWidth="1"/>
    <col min="1805" max="2044" width="9.125" style="161" customWidth="1"/>
    <col min="2045" max="2045" width="5.625" style="161" customWidth="1"/>
    <col min="2046" max="2046" width="33.625" style="161" customWidth="1"/>
    <col min="2047" max="2047" width="15.625" style="161" customWidth="1"/>
    <col min="2048" max="2048" width="9.625" style="161" customWidth="1"/>
    <col min="2049" max="2049" width="11.75390625" style="161" customWidth="1"/>
    <col min="2050" max="2050" width="13.125" style="161" customWidth="1"/>
    <col min="2051" max="2051" width="10.875" style="161" customWidth="1"/>
    <col min="2052" max="2052" width="9.25390625" style="161" bestFit="1" customWidth="1"/>
    <col min="2053" max="2053" width="12.125" style="161" customWidth="1"/>
    <col min="2054" max="2054" width="12.75390625" style="161" customWidth="1"/>
    <col min="2055" max="2055" width="9.25390625" style="161" customWidth="1"/>
    <col min="2056" max="2056" width="9.25390625" style="161" bestFit="1" customWidth="1"/>
    <col min="2057" max="2057" width="13.125" style="161" customWidth="1"/>
    <col min="2058" max="2058" width="13.625" style="161" customWidth="1"/>
    <col min="2059" max="2059" width="9.625" style="161" customWidth="1"/>
    <col min="2060" max="2060" width="14.875" style="161" customWidth="1"/>
    <col min="2061" max="2300" width="9.125" style="161" customWidth="1"/>
    <col min="2301" max="2301" width="5.625" style="161" customWidth="1"/>
    <col min="2302" max="2302" width="33.625" style="161" customWidth="1"/>
    <col min="2303" max="2303" width="15.625" style="161" customWidth="1"/>
    <col min="2304" max="2304" width="9.625" style="161" customWidth="1"/>
    <col min="2305" max="2305" width="11.75390625" style="161" customWidth="1"/>
    <col min="2306" max="2306" width="13.125" style="161" customWidth="1"/>
    <col min="2307" max="2307" width="10.875" style="161" customWidth="1"/>
    <col min="2308" max="2308" width="9.25390625" style="161" bestFit="1" customWidth="1"/>
    <col min="2309" max="2309" width="12.125" style="161" customWidth="1"/>
    <col min="2310" max="2310" width="12.75390625" style="161" customWidth="1"/>
    <col min="2311" max="2311" width="9.25390625" style="161" customWidth="1"/>
    <col min="2312" max="2312" width="9.25390625" style="161" bestFit="1" customWidth="1"/>
    <col min="2313" max="2313" width="13.125" style="161" customWidth="1"/>
    <col min="2314" max="2314" width="13.625" style="161" customWidth="1"/>
    <col min="2315" max="2315" width="9.625" style="161" customWidth="1"/>
    <col min="2316" max="2316" width="14.875" style="161" customWidth="1"/>
    <col min="2317" max="2556" width="9.125" style="161" customWidth="1"/>
    <col min="2557" max="2557" width="5.625" style="161" customWidth="1"/>
    <col min="2558" max="2558" width="33.625" style="161" customWidth="1"/>
    <col min="2559" max="2559" width="15.625" style="161" customWidth="1"/>
    <col min="2560" max="2560" width="9.625" style="161" customWidth="1"/>
    <col min="2561" max="2561" width="11.75390625" style="161" customWidth="1"/>
    <col min="2562" max="2562" width="13.125" style="161" customWidth="1"/>
    <col min="2563" max="2563" width="10.875" style="161" customWidth="1"/>
    <col min="2564" max="2564" width="9.25390625" style="161" bestFit="1" customWidth="1"/>
    <col min="2565" max="2565" width="12.125" style="161" customWidth="1"/>
    <col min="2566" max="2566" width="12.75390625" style="161" customWidth="1"/>
    <col min="2567" max="2567" width="9.25390625" style="161" customWidth="1"/>
    <col min="2568" max="2568" width="9.25390625" style="161" bestFit="1" customWidth="1"/>
    <col min="2569" max="2569" width="13.125" style="161" customWidth="1"/>
    <col min="2570" max="2570" width="13.625" style="161" customWidth="1"/>
    <col min="2571" max="2571" width="9.625" style="161" customWidth="1"/>
    <col min="2572" max="2572" width="14.875" style="161" customWidth="1"/>
    <col min="2573" max="2812" width="9.125" style="161" customWidth="1"/>
    <col min="2813" max="2813" width="5.625" style="161" customWidth="1"/>
    <col min="2814" max="2814" width="33.625" style="161" customWidth="1"/>
    <col min="2815" max="2815" width="15.625" style="161" customWidth="1"/>
    <col min="2816" max="2816" width="9.625" style="161" customWidth="1"/>
    <col min="2817" max="2817" width="11.75390625" style="161" customWidth="1"/>
    <col min="2818" max="2818" width="13.125" style="161" customWidth="1"/>
    <col min="2819" max="2819" width="10.875" style="161" customWidth="1"/>
    <col min="2820" max="2820" width="9.25390625" style="161" bestFit="1" customWidth="1"/>
    <col min="2821" max="2821" width="12.125" style="161" customWidth="1"/>
    <col min="2822" max="2822" width="12.75390625" style="161" customWidth="1"/>
    <col min="2823" max="2823" width="9.25390625" style="161" customWidth="1"/>
    <col min="2824" max="2824" width="9.25390625" style="161" bestFit="1" customWidth="1"/>
    <col min="2825" max="2825" width="13.125" style="161" customWidth="1"/>
    <col min="2826" max="2826" width="13.625" style="161" customWidth="1"/>
    <col min="2827" max="2827" width="9.625" style="161" customWidth="1"/>
    <col min="2828" max="2828" width="14.875" style="161" customWidth="1"/>
    <col min="2829" max="3068" width="9.125" style="161" customWidth="1"/>
    <col min="3069" max="3069" width="5.625" style="161" customWidth="1"/>
    <col min="3070" max="3070" width="33.625" style="161" customWidth="1"/>
    <col min="3071" max="3071" width="15.625" style="161" customWidth="1"/>
    <col min="3072" max="3072" width="9.625" style="161" customWidth="1"/>
    <col min="3073" max="3073" width="11.75390625" style="161" customWidth="1"/>
    <col min="3074" max="3074" width="13.125" style="161" customWidth="1"/>
    <col min="3075" max="3075" width="10.875" style="161" customWidth="1"/>
    <col min="3076" max="3076" width="9.25390625" style="161" bestFit="1" customWidth="1"/>
    <col min="3077" max="3077" width="12.125" style="161" customWidth="1"/>
    <col min="3078" max="3078" width="12.75390625" style="161" customWidth="1"/>
    <col min="3079" max="3079" width="9.25390625" style="161" customWidth="1"/>
    <col min="3080" max="3080" width="9.25390625" style="161" bestFit="1" customWidth="1"/>
    <col min="3081" max="3081" width="13.125" style="161" customWidth="1"/>
    <col min="3082" max="3082" width="13.625" style="161" customWidth="1"/>
    <col min="3083" max="3083" width="9.625" style="161" customWidth="1"/>
    <col min="3084" max="3084" width="14.875" style="161" customWidth="1"/>
    <col min="3085" max="3324" width="9.125" style="161" customWidth="1"/>
    <col min="3325" max="3325" width="5.625" style="161" customWidth="1"/>
    <col min="3326" max="3326" width="33.625" style="161" customWidth="1"/>
    <col min="3327" max="3327" width="15.625" style="161" customWidth="1"/>
    <col min="3328" max="3328" width="9.625" style="161" customWidth="1"/>
    <col min="3329" max="3329" width="11.75390625" style="161" customWidth="1"/>
    <col min="3330" max="3330" width="13.125" style="161" customWidth="1"/>
    <col min="3331" max="3331" width="10.875" style="161" customWidth="1"/>
    <col min="3332" max="3332" width="9.25390625" style="161" bestFit="1" customWidth="1"/>
    <col min="3333" max="3333" width="12.125" style="161" customWidth="1"/>
    <col min="3334" max="3334" width="12.75390625" style="161" customWidth="1"/>
    <col min="3335" max="3335" width="9.25390625" style="161" customWidth="1"/>
    <col min="3336" max="3336" width="9.25390625" style="161" bestFit="1" customWidth="1"/>
    <col min="3337" max="3337" width="13.125" style="161" customWidth="1"/>
    <col min="3338" max="3338" width="13.625" style="161" customWidth="1"/>
    <col min="3339" max="3339" width="9.625" style="161" customWidth="1"/>
    <col min="3340" max="3340" width="14.875" style="161" customWidth="1"/>
    <col min="3341" max="3580" width="9.125" style="161" customWidth="1"/>
    <col min="3581" max="3581" width="5.625" style="161" customWidth="1"/>
    <col min="3582" max="3582" width="33.625" style="161" customWidth="1"/>
    <col min="3583" max="3583" width="15.625" style="161" customWidth="1"/>
    <col min="3584" max="3584" width="9.625" style="161" customWidth="1"/>
    <col min="3585" max="3585" width="11.75390625" style="161" customWidth="1"/>
    <col min="3586" max="3586" width="13.125" style="161" customWidth="1"/>
    <col min="3587" max="3587" width="10.875" style="161" customWidth="1"/>
    <col min="3588" max="3588" width="9.25390625" style="161" bestFit="1" customWidth="1"/>
    <col min="3589" max="3589" width="12.125" style="161" customWidth="1"/>
    <col min="3590" max="3590" width="12.75390625" style="161" customWidth="1"/>
    <col min="3591" max="3591" width="9.25390625" style="161" customWidth="1"/>
    <col min="3592" max="3592" width="9.25390625" style="161" bestFit="1" customWidth="1"/>
    <col min="3593" max="3593" width="13.125" style="161" customWidth="1"/>
    <col min="3594" max="3594" width="13.625" style="161" customWidth="1"/>
    <col min="3595" max="3595" width="9.625" style="161" customWidth="1"/>
    <col min="3596" max="3596" width="14.875" style="161" customWidth="1"/>
    <col min="3597" max="3836" width="9.125" style="161" customWidth="1"/>
    <col min="3837" max="3837" width="5.625" style="161" customWidth="1"/>
    <col min="3838" max="3838" width="33.625" style="161" customWidth="1"/>
    <col min="3839" max="3839" width="15.625" style="161" customWidth="1"/>
    <col min="3840" max="3840" width="9.625" style="161" customWidth="1"/>
    <col min="3841" max="3841" width="11.75390625" style="161" customWidth="1"/>
    <col min="3842" max="3842" width="13.125" style="161" customWidth="1"/>
    <col min="3843" max="3843" width="10.875" style="161" customWidth="1"/>
    <col min="3844" max="3844" width="9.25390625" style="161" bestFit="1" customWidth="1"/>
    <col min="3845" max="3845" width="12.125" style="161" customWidth="1"/>
    <col min="3846" max="3846" width="12.75390625" style="161" customWidth="1"/>
    <col min="3847" max="3847" width="9.25390625" style="161" customWidth="1"/>
    <col min="3848" max="3848" width="9.25390625" style="161" bestFit="1" customWidth="1"/>
    <col min="3849" max="3849" width="13.125" style="161" customWidth="1"/>
    <col min="3850" max="3850" width="13.625" style="161" customWidth="1"/>
    <col min="3851" max="3851" width="9.625" style="161" customWidth="1"/>
    <col min="3852" max="3852" width="14.875" style="161" customWidth="1"/>
    <col min="3853" max="4092" width="9.125" style="161" customWidth="1"/>
    <col min="4093" max="4093" width="5.625" style="161" customWidth="1"/>
    <col min="4094" max="4094" width="33.625" style="161" customWidth="1"/>
    <col min="4095" max="4095" width="15.625" style="161" customWidth="1"/>
    <col min="4096" max="4096" width="9.625" style="161" customWidth="1"/>
    <col min="4097" max="4097" width="11.75390625" style="161" customWidth="1"/>
    <col min="4098" max="4098" width="13.125" style="161" customWidth="1"/>
    <col min="4099" max="4099" width="10.875" style="161" customWidth="1"/>
    <col min="4100" max="4100" width="9.25390625" style="161" bestFit="1" customWidth="1"/>
    <col min="4101" max="4101" width="12.125" style="161" customWidth="1"/>
    <col min="4102" max="4102" width="12.75390625" style="161" customWidth="1"/>
    <col min="4103" max="4103" width="9.25390625" style="161" customWidth="1"/>
    <col min="4104" max="4104" width="9.25390625" style="161" bestFit="1" customWidth="1"/>
    <col min="4105" max="4105" width="13.125" style="161" customWidth="1"/>
    <col min="4106" max="4106" width="13.625" style="161" customWidth="1"/>
    <col min="4107" max="4107" width="9.625" style="161" customWidth="1"/>
    <col min="4108" max="4108" width="14.875" style="161" customWidth="1"/>
    <col min="4109" max="4348" width="9.125" style="161" customWidth="1"/>
    <col min="4349" max="4349" width="5.625" style="161" customWidth="1"/>
    <col min="4350" max="4350" width="33.625" style="161" customWidth="1"/>
    <col min="4351" max="4351" width="15.625" style="161" customWidth="1"/>
    <col min="4352" max="4352" width="9.625" style="161" customWidth="1"/>
    <col min="4353" max="4353" width="11.75390625" style="161" customWidth="1"/>
    <col min="4354" max="4354" width="13.125" style="161" customWidth="1"/>
    <col min="4355" max="4355" width="10.875" style="161" customWidth="1"/>
    <col min="4356" max="4356" width="9.25390625" style="161" bestFit="1" customWidth="1"/>
    <col min="4357" max="4357" width="12.125" style="161" customWidth="1"/>
    <col min="4358" max="4358" width="12.75390625" style="161" customWidth="1"/>
    <col min="4359" max="4359" width="9.25390625" style="161" customWidth="1"/>
    <col min="4360" max="4360" width="9.25390625" style="161" bestFit="1" customWidth="1"/>
    <col min="4361" max="4361" width="13.125" style="161" customWidth="1"/>
    <col min="4362" max="4362" width="13.625" style="161" customWidth="1"/>
    <col min="4363" max="4363" width="9.625" style="161" customWidth="1"/>
    <col min="4364" max="4364" width="14.875" style="161" customWidth="1"/>
    <col min="4365" max="4604" width="9.125" style="161" customWidth="1"/>
    <col min="4605" max="4605" width="5.625" style="161" customWidth="1"/>
    <col min="4606" max="4606" width="33.625" style="161" customWidth="1"/>
    <col min="4607" max="4607" width="15.625" style="161" customWidth="1"/>
    <col min="4608" max="4608" width="9.625" style="161" customWidth="1"/>
    <col min="4609" max="4609" width="11.75390625" style="161" customWidth="1"/>
    <col min="4610" max="4610" width="13.125" style="161" customWidth="1"/>
    <col min="4611" max="4611" width="10.875" style="161" customWidth="1"/>
    <col min="4612" max="4612" width="9.25390625" style="161" bestFit="1" customWidth="1"/>
    <col min="4613" max="4613" width="12.125" style="161" customWidth="1"/>
    <col min="4614" max="4614" width="12.75390625" style="161" customWidth="1"/>
    <col min="4615" max="4615" width="9.25390625" style="161" customWidth="1"/>
    <col min="4616" max="4616" width="9.25390625" style="161" bestFit="1" customWidth="1"/>
    <col min="4617" max="4617" width="13.125" style="161" customWidth="1"/>
    <col min="4618" max="4618" width="13.625" style="161" customWidth="1"/>
    <col min="4619" max="4619" width="9.625" style="161" customWidth="1"/>
    <col min="4620" max="4620" width="14.875" style="161" customWidth="1"/>
    <col min="4621" max="4860" width="9.125" style="161" customWidth="1"/>
    <col min="4861" max="4861" width="5.625" style="161" customWidth="1"/>
    <col min="4862" max="4862" width="33.625" style="161" customWidth="1"/>
    <col min="4863" max="4863" width="15.625" style="161" customWidth="1"/>
    <col min="4864" max="4864" width="9.625" style="161" customWidth="1"/>
    <col min="4865" max="4865" width="11.75390625" style="161" customWidth="1"/>
    <col min="4866" max="4866" width="13.125" style="161" customWidth="1"/>
    <col min="4867" max="4867" width="10.875" style="161" customWidth="1"/>
    <col min="4868" max="4868" width="9.25390625" style="161" bestFit="1" customWidth="1"/>
    <col min="4869" max="4869" width="12.125" style="161" customWidth="1"/>
    <col min="4870" max="4870" width="12.75390625" style="161" customWidth="1"/>
    <col min="4871" max="4871" width="9.25390625" style="161" customWidth="1"/>
    <col min="4872" max="4872" width="9.25390625" style="161" bestFit="1" customWidth="1"/>
    <col min="4873" max="4873" width="13.125" style="161" customWidth="1"/>
    <col min="4874" max="4874" width="13.625" style="161" customWidth="1"/>
    <col min="4875" max="4875" width="9.625" style="161" customWidth="1"/>
    <col min="4876" max="4876" width="14.875" style="161" customWidth="1"/>
    <col min="4877" max="5116" width="9.125" style="161" customWidth="1"/>
    <col min="5117" max="5117" width="5.625" style="161" customWidth="1"/>
    <col min="5118" max="5118" width="33.625" style="161" customWidth="1"/>
    <col min="5119" max="5119" width="15.625" style="161" customWidth="1"/>
    <col min="5120" max="5120" width="9.625" style="161" customWidth="1"/>
    <col min="5121" max="5121" width="11.75390625" style="161" customWidth="1"/>
    <col min="5122" max="5122" width="13.125" style="161" customWidth="1"/>
    <col min="5123" max="5123" width="10.875" style="161" customWidth="1"/>
    <col min="5124" max="5124" width="9.25390625" style="161" bestFit="1" customWidth="1"/>
    <col min="5125" max="5125" width="12.125" style="161" customWidth="1"/>
    <col min="5126" max="5126" width="12.75390625" style="161" customWidth="1"/>
    <col min="5127" max="5127" width="9.25390625" style="161" customWidth="1"/>
    <col min="5128" max="5128" width="9.25390625" style="161" bestFit="1" customWidth="1"/>
    <col min="5129" max="5129" width="13.125" style="161" customWidth="1"/>
    <col min="5130" max="5130" width="13.625" style="161" customWidth="1"/>
    <col min="5131" max="5131" width="9.625" style="161" customWidth="1"/>
    <col min="5132" max="5132" width="14.875" style="161" customWidth="1"/>
    <col min="5133" max="5372" width="9.125" style="161" customWidth="1"/>
    <col min="5373" max="5373" width="5.625" style="161" customWidth="1"/>
    <col min="5374" max="5374" width="33.625" style="161" customWidth="1"/>
    <col min="5375" max="5375" width="15.625" style="161" customWidth="1"/>
    <col min="5376" max="5376" width="9.625" style="161" customWidth="1"/>
    <col min="5377" max="5377" width="11.75390625" style="161" customWidth="1"/>
    <col min="5378" max="5378" width="13.125" style="161" customWidth="1"/>
    <col min="5379" max="5379" width="10.875" style="161" customWidth="1"/>
    <col min="5380" max="5380" width="9.25390625" style="161" bestFit="1" customWidth="1"/>
    <col min="5381" max="5381" width="12.125" style="161" customWidth="1"/>
    <col min="5382" max="5382" width="12.75390625" style="161" customWidth="1"/>
    <col min="5383" max="5383" width="9.25390625" style="161" customWidth="1"/>
    <col min="5384" max="5384" width="9.25390625" style="161" bestFit="1" customWidth="1"/>
    <col min="5385" max="5385" width="13.125" style="161" customWidth="1"/>
    <col min="5386" max="5386" width="13.625" style="161" customWidth="1"/>
    <col min="5387" max="5387" width="9.625" style="161" customWidth="1"/>
    <col min="5388" max="5388" width="14.875" style="161" customWidth="1"/>
    <col min="5389" max="5628" width="9.125" style="161" customWidth="1"/>
    <col min="5629" max="5629" width="5.625" style="161" customWidth="1"/>
    <col min="5630" max="5630" width="33.625" style="161" customWidth="1"/>
    <col min="5631" max="5631" width="15.625" style="161" customWidth="1"/>
    <col min="5632" max="5632" width="9.625" style="161" customWidth="1"/>
    <col min="5633" max="5633" width="11.75390625" style="161" customWidth="1"/>
    <col min="5634" max="5634" width="13.125" style="161" customWidth="1"/>
    <col min="5635" max="5635" width="10.875" style="161" customWidth="1"/>
    <col min="5636" max="5636" width="9.25390625" style="161" bestFit="1" customWidth="1"/>
    <col min="5637" max="5637" width="12.125" style="161" customWidth="1"/>
    <col min="5638" max="5638" width="12.75390625" style="161" customWidth="1"/>
    <col min="5639" max="5639" width="9.25390625" style="161" customWidth="1"/>
    <col min="5640" max="5640" width="9.25390625" style="161" bestFit="1" customWidth="1"/>
    <col min="5641" max="5641" width="13.125" style="161" customWidth="1"/>
    <col min="5642" max="5642" width="13.625" style="161" customWidth="1"/>
    <col min="5643" max="5643" width="9.625" style="161" customWidth="1"/>
    <col min="5644" max="5644" width="14.875" style="161" customWidth="1"/>
    <col min="5645" max="5884" width="9.125" style="161" customWidth="1"/>
    <col min="5885" max="5885" width="5.625" style="161" customWidth="1"/>
    <col min="5886" max="5886" width="33.625" style="161" customWidth="1"/>
    <col min="5887" max="5887" width="15.625" style="161" customWidth="1"/>
    <col min="5888" max="5888" width="9.625" style="161" customWidth="1"/>
    <col min="5889" max="5889" width="11.75390625" style="161" customWidth="1"/>
    <col min="5890" max="5890" width="13.125" style="161" customWidth="1"/>
    <col min="5891" max="5891" width="10.875" style="161" customWidth="1"/>
    <col min="5892" max="5892" width="9.25390625" style="161" bestFit="1" customWidth="1"/>
    <col min="5893" max="5893" width="12.125" style="161" customWidth="1"/>
    <col min="5894" max="5894" width="12.75390625" style="161" customWidth="1"/>
    <col min="5895" max="5895" width="9.25390625" style="161" customWidth="1"/>
    <col min="5896" max="5896" width="9.25390625" style="161" bestFit="1" customWidth="1"/>
    <col min="5897" max="5897" width="13.125" style="161" customWidth="1"/>
    <col min="5898" max="5898" width="13.625" style="161" customWidth="1"/>
    <col min="5899" max="5899" width="9.625" style="161" customWidth="1"/>
    <col min="5900" max="5900" width="14.875" style="161" customWidth="1"/>
    <col min="5901" max="6140" width="9.125" style="161" customWidth="1"/>
    <col min="6141" max="6141" width="5.625" style="161" customWidth="1"/>
    <col min="6142" max="6142" width="33.625" style="161" customWidth="1"/>
    <col min="6143" max="6143" width="15.625" style="161" customWidth="1"/>
    <col min="6144" max="6144" width="9.625" style="161" customWidth="1"/>
    <col min="6145" max="6145" width="11.75390625" style="161" customWidth="1"/>
    <col min="6146" max="6146" width="13.125" style="161" customWidth="1"/>
    <col min="6147" max="6147" width="10.875" style="161" customWidth="1"/>
    <col min="6148" max="6148" width="9.25390625" style="161" bestFit="1" customWidth="1"/>
    <col min="6149" max="6149" width="12.125" style="161" customWidth="1"/>
    <col min="6150" max="6150" width="12.75390625" style="161" customWidth="1"/>
    <col min="6151" max="6151" width="9.25390625" style="161" customWidth="1"/>
    <col min="6152" max="6152" width="9.25390625" style="161" bestFit="1" customWidth="1"/>
    <col min="6153" max="6153" width="13.125" style="161" customWidth="1"/>
    <col min="6154" max="6154" width="13.625" style="161" customWidth="1"/>
    <col min="6155" max="6155" width="9.625" style="161" customWidth="1"/>
    <col min="6156" max="6156" width="14.875" style="161" customWidth="1"/>
    <col min="6157" max="6396" width="9.125" style="161" customWidth="1"/>
    <col min="6397" max="6397" width="5.625" style="161" customWidth="1"/>
    <col min="6398" max="6398" width="33.625" style="161" customWidth="1"/>
    <col min="6399" max="6399" width="15.625" style="161" customWidth="1"/>
    <col min="6400" max="6400" width="9.625" style="161" customWidth="1"/>
    <col min="6401" max="6401" width="11.75390625" style="161" customWidth="1"/>
    <col min="6402" max="6402" width="13.125" style="161" customWidth="1"/>
    <col min="6403" max="6403" width="10.875" style="161" customWidth="1"/>
    <col min="6404" max="6404" width="9.25390625" style="161" bestFit="1" customWidth="1"/>
    <col min="6405" max="6405" width="12.125" style="161" customWidth="1"/>
    <col min="6406" max="6406" width="12.75390625" style="161" customWidth="1"/>
    <col min="6407" max="6407" width="9.25390625" style="161" customWidth="1"/>
    <col min="6408" max="6408" width="9.25390625" style="161" bestFit="1" customWidth="1"/>
    <col min="6409" max="6409" width="13.125" style="161" customWidth="1"/>
    <col min="6410" max="6410" width="13.625" style="161" customWidth="1"/>
    <col min="6411" max="6411" width="9.625" style="161" customWidth="1"/>
    <col min="6412" max="6412" width="14.875" style="161" customWidth="1"/>
    <col min="6413" max="6652" width="9.125" style="161" customWidth="1"/>
    <col min="6653" max="6653" width="5.625" style="161" customWidth="1"/>
    <col min="6654" max="6654" width="33.625" style="161" customWidth="1"/>
    <col min="6655" max="6655" width="15.625" style="161" customWidth="1"/>
    <col min="6656" max="6656" width="9.625" style="161" customWidth="1"/>
    <col min="6657" max="6657" width="11.75390625" style="161" customWidth="1"/>
    <col min="6658" max="6658" width="13.125" style="161" customWidth="1"/>
    <col min="6659" max="6659" width="10.875" style="161" customWidth="1"/>
    <col min="6660" max="6660" width="9.25390625" style="161" bestFit="1" customWidth="1"/>
    <col min="6661" max="6661" width="12.125" style="161" customWidth="1"/>
    <col min="6662" max="6662" width="12.75390625" style="161" customWidth="1"/>
    <col min="6663" max="6663" width="9.25390625" style="161" customWidth="1"/>
    <col min="6664" max="6664" width="9.25390625" style="161" bestFit="1" customWidth="1"/>
    <col min="6665" max="6665" width="13.125" style="161" customWidth="1"/>
    <col min="6666" max="6666" width="13.625" style="161" customWidth="1"/>
    <col min="6667" max="6667" width="9.625" style="161" customWidth="1"/>
    <col min="6668" max="6668" width="14.875" style="161" customWidth="1"/>
    <col min="6669" max="6908" width="9.125" style="161" customWidth="1"/>
    <col min="6909" max="6909" width="5.625" style="161" customWidth="1"/>
    <col min="6910" max="6910" width="33.625" style="161" customWidth="1"/>
    <col min="6911" max="6911" width="15.625" style="161" customWidth="1"/>
    <col min="6912" max="6912" width="9.625" style="161" customWidth="1"/>
    <col min="6913" max="6913" width="11.75390625" style="161" customWidth="1"/>
    <col min="6914" max="6914" width="13.125" style="161" customWidth="1"/>
    <col min="6915" max="6915" width="10.875" style="161" customWidth="1"/>
    <col min="6916" max="6916" width="9.25390625" style="161" bestFit="1" customWidth="1"/>
    <col min="6917" max="6917" width="12.125" style="161" customWidth="1"/>
    <col min="6918" max="6918" width="12.75390625" style="161" customWidth="1"/>
    <col min="6919" max="6919" width="9.25390625" style="161" customWidth="1"/>
    <col min="6920" max="6920" width="9.25390625" style="161" bestFit="1" customWidth="1"/>
    <col min="6921" max="6921" width="13.125" style="161" customWidth="1"/>
    <col min="6922" max="6922" width="13.625" style="161" customWidth="1"/>
    <col min="6923" max="6923" width="9.625" style="161" customWidth="1"/>
    <col min="6924" max="6924" width="14.875" style="161" customWidth="1"/>
    <col min="6925" max="7164" width="9.125" style="161" customWidth="1"/>
    <col min="7165" max="7165" width="5.625" style="161" customWidth="1"/>
    <col min="7166" max="7166" width="33.625" style="161" customWidth="1"/>
    <col min="7167" max="7167" width="15.625" style="161" customWidth="1"/>
    <col min="7168" max="7168" width="9.625" style="161" customWidth="1"/>
    <col min="7169" max="7169" width="11.75390625" style="161" customWidth="1"/>
    <col min="7170" max="7170" width="13.125" style="161" customWidth="1"/>
    <col min="7171" max="7171" width="10.875" style="161" customWidth="1"/>
    <col min="7172" max="7172" width="9.25390625" style="161" bestFit="1" customWidth="1"/>
    <col min="7173" max="7173" width="12.125" style="161" customWidth="1"/>
    <col min="7174" max="7174" width="12.75390625" style="161" customWidth="1"/>
    <col min="7175" max="7175" width="9.25390625" style="161" customWidth="1"/>
    <col min="7176" max="7176" width="9.25390625" style="161" bestFit="1" customWidth="1"/>
    <col min="7177" max="7177" width="13.125" style="161" customWidth="1"/>
    <col min="7178" max="7178" width="13.625" style="161" customWidth="1"/>
    <col min="7179" max="7179" width="9.625" style="161" customWidth="1"/>
    <col min="7180" max="7180" width="14.875" style="161" customWidth="1"/>
    <col min="7181" max="7420" width="9.125" style="161" customWidth="1"/>
    <col min="7421" max="7421" width="5.625" style="161" customWidth="1"/>
    <col min="7422" max="7422" width="33.625" style="161" customWidth="1"/>
    <col min="7423" max="7423" width="15.625" style="161" customWidth="1"/>
    <col min="7424" max="7424" width="9.625" style="161" customWidth="1"/>
    <col min="7425" max="7425" width="11.75390625" style="161" customWidth="1"/>
    <col min="7426" max="7426" width="13.125" style="161" customWidth="1"/>
    <col min="7427" max="7427" width="10.875" style="161" customWidth="1"/>
    <col min="7428" max="7428" width="9.25390625" style="161" bestFit="1" customWidth="1"/>
    <col min="7429" max="7429" width="12.125" style="161" customWidth="1"/>
    <col min="7430" max="7430" width="12.75390625" style="161" customWidth="1"/>
    <col min="7431" max="7431" width="9.25390625" style="161" customWidth="1"/>
    <col min="7432" max="7432" width="9.25390625" style="161" bestFit="1" customWidth="1"/>
    <col min="7433" max="7433" width="13.125" style="161" customWidth="1"/>
    <col min="7434" max="7434" width="13.625" style="161" customWidth="1"/>
    <col min="7435" max="7435" width="9.625" style="161" customWidth="1"/>
    <col min="7436" max="7436" width="14.875" style="161" customWidth="1"/>
    <col min="7437" max="7676" width="9.125" style="161" customWidth="1"/>
    <col min="7677" max="7677" width="5.625" style="161" customWidth="1"/>
    <col min="7678" max="7678" width="33.625" style="161" customWidth="1"/>
    <col min="7679" max="7679" width="15.625" style="161" customWidth="1"/>
    <col min="7680" max="7680" width="9.625" style="161" customWidth="1"/>
    <col min="7681" max="7681" width="11.75390625" style="161" customWidth="1"/>
    <col min="7682" max="7682" width="13.125" style="161" customWidth="1"/>
    <col min="7683" max="7683" width="10.875" style="161" customWidth="1"/>
    <col min="7684" max="7684" width="9.25390625" style="161" bestFit="1" customWidth="1"/>
    <col min="7685" max="7685" width="12.125" style="161" customWidth="1"/>
    <col min="7686" max="7686" width="12.75390625" style="161" customWidth="1"/>
    <col min="7687" max="7687" width="9.25390625" style="161" customWidth="1"/>
    <col min="7688" max="7688" width="9.25390625" style="161" bestFit="1" customWidth="1"/>
    <col min="7689" max="7689" width="13.125" style="161" customWidth="1"/>
    <col min="7690" max="7690" width="13.625" style="161" customWidth="1"/>
    <col min="7691" max="7691" width="9.625" style="161" customWidth="1"/>
    <col min="7692" max="7692" width="14.875" style="161" customWidth="1"/>
    <col min="7693" max="7932" width="9.125" style="161" customWidth="1"/>
    <col min="7933" max="7933" width="5.625" style="161" customWidth="1"/>
    <col min="7934" max="7934" width="33.625" style="161" customWidth="1"/>
    <col min="7935" max="7935" width="15.625" style="161" customWidth="1"/>
    <col min="7936" max="7936" width="9.625" style="161" customWidth="1"/>
    <col min="7937" max="7937" width="11.75390625" style="161" customWidth="1"/>
    <col min="7938" max="7938" width="13.125" style="161" customWidth="1"/>
    <col min="7939" max="7939" width="10.875" style="161" customWidth="1"/>
    <col min="7940" max="7940" width="9.25390625" style="161" bestFit="1" customWidth="1"/>
    <col min="7941" max="7941" width="12.125" style="161" customWidth="1"/>
    <col min="7942" max="7942" width="12.75390625" style="161" customWidth="1"/>
    <col min="7943" max="7943" width="9.25390625" style="161" customWidth="1"/>
    <col min="7944" max="7944" width="9.25390625" style="161" bestFit="1" customWidth="1"/>
    <col min="7945" max="7945" width="13.125" style="161" customWidth="1"/>
    <col min="7946" max="7946" width="13.625" style="161" customWidth="1"/>
    <col min="7947" max="7947" width="9.625" style="161" customWidth="1"/>
    <col min="7948" max="7948" width="14.875" style="161" customWidth="1"/>
    <col min="7949" max="8188" width="9.125" style="161" customWidth="1"/>
    <col min="8189" max="8189" width="5.625" style="161" customWidth="1"/>
    <col min="8190" max="8190" width="33.625" style="161" customWidth="1"/>
    <col min="8191" max="8191" width="15.625" style="161" customWidth="1"/>
    <col min="8192" max="8192" width="9.625" style="161" customWidth="1"/>
    <col min="8193" max="8193" width="11.75390625" style="161" customWidth="1"/>
    <col min="8194" max="8194" width="13.125" style="161" customWidth="1"/>
    <col min="8195" max="8195" width="10.875" style="161" customWidth="1"/>
    <col min="8196" max="8196" width="9.25390625" style="161" bestFit="1" customWidth="1"/>
    <col min="8197" max="8197" width="12.125" style="161" customWidth="1"/>
    <col min="8198" max="8198" width="12.75390625" style="161" customWidth="1"/>
    <col min="8199" max="8199" width="9.25390625" style="161" customWidth="1"/>
    <col min="8200" max="8200" width="9.25390625" style="161" bestFit="1" customWidth="1"/>
    <col min="8201" max="8201" width="13.125" style="161" customWidth="1"/>
    <col min="8202" max="8202" width="13.625" style="161" customWidth="1"/>
    <col min="8203" max="8203" width="9.625" style="161" customWidth="1"/>
    <col min="8204" max="8204" width="14.875" style="161" customWidth="1"/>
    <col min="8205" max="8444" width="9.125" style="161" customWidth="1"/>
    <col min="8445" max="8445" width="5.625" style="161" customWidth="1"/>
    <col min="8446" max="8446" width="33.625" style="161" customWidth="1"/>
    <col min="8447" max="8447" width="15.625" style="161" customWidth="1"/>
    <col min="8448" max="8448" width="9.625" style="161" customWidth="1"/>
    <col min="8449" max="8449" width="11.75390625" style="161" customWidth="1"/>
    <col min="8450" max="8450" width="13.125" style="161" customWidth="1"/>
    <col min="8451" max="8451" width="10.875" style="161" customWidth="1"/>
    <col min="8452" max="8452" width="9.25390625" style="161" bestFit="1" customWidth="1"/>
    <col min="8453" max="8453" width="12.125" style="161" customWidth="1"/>
    <col min="8454" max="8454" width="12.75390625" style="161" customWidth="1"/>
    <col min="8455" max="8455" width="9.25390625" style="161" customWidth="1"/>
    <col min="8456" max="8456" width="9.25390625" style="161" bestFit="1" customWidth="1"/>
    <col min="8457" max="8457" width="13.125" style="161" customWidth="1"/>
    <col min="8458" max="8458" width="13.625" style="161" customWidth="1"/>
    <col min="8459" max="8459" width="9.625" style="161" customWidth="1"/>
    <col min="8460" max="8460" width="14.875" style="161" customWidth="1"/>
    <col min="8461" max="8700" width="9.125" style="161" customWidth="1"/>
    <col min="8701" max="8701" width="5.625" style="161" customWidth="1"/>
    <col min="8702" max="8702" width="33.625" style="161" customWidth="1"/>
    <col min="8703" max="8703" width="15.625" style="161" customWidth="1"/>
    <col min="8704" max="8704" width="9.625" style="161" customWidth="1"/>
    <col min="8705" max="8705" width="11.75390625" style="161" customWidth="1"/>
    <col min="8706" max="8706" width="13.125" style="161" customWidth="1"/>
    <col min="8707" max="8707" width="10.875" style="161" customWidth="1"/>
    <col min="8708" max="8708" width="9.25390625" style="161" bestFit="1" customWidth="1"/>
    <col min="8709" max="8709" width="12.125" style="161" customWidth="1"/>
    <col min="8710" max="8710" width="12.75390625" style="161" customWidth="1"/>
    <col min="8711" max="8711" width="9.25390625" style="161" customWidth="1"/>
    <col min="8712" max="8712" width="9.25390625" style="161" bestFit="1" customWidth="1"/>
    <col min="8713" max="8713" width="13.125" style="161" customWidth="1"/>
    <col min="8714" max="8714" width="13.625" style="161" customWidth="1"/>
    <col min="8715" max="8715" width="9.625" style="161" customWidth="1"/>
    <col min="8716" max="8716" width="14.875" style="161" customWidth="1"/>
    <col min="8717" max="8956" width="9.125" style="161" customWidth="1"/>
    <col min="8957" max="8957" width="5.625" style="161" customWidth="1"/>
    <col min="8958" max="8958" width="33.625" style="161" customWidth="1"/>
    <col min="8959" max="8959" width="15.625" style="161" customWidth="1"/>
    <col min="8960" max="8960" width="9.625" style="161" customWidth="1"/>
    <col min="8961" max="8961" width="11.75390625" style="161" customWidth="1"/>
    <col min="8962" max="8962" width="13.125" style="161" customWidth="1"/>
    <col min="8963" max="8963" width="10.875" style="161" customWidth="1"/>
    <col min="8964" max="8964" width="9.25390625" style="161" bestFit="1" customWidth="1"/>
    <col min="8965" max="8965" width="12.125" style="161" customWidth="1"/>
    <col min="8966" max="8966" width="12.75390625" style="161" customWidth="1"/>
    <col min="8967" max="8967" width="9.25390625" style="161" customWidth="1"/>
    <col min="8968" max="8968" width="9.25390625" style="161" bestFit="1" customWidth="1"/>
    <col min="8969" max="8969" width="13.125" style="161" customWidth="1"/>
    <col min="8970" max="8970" width="13.625" style="161" customWidth="1"/>
    <col min="8971" max="8971" width="9.625" style="161" customWidth="1"/>
    <col min="8972" max="8972" width="14.875" style="161" customWidth="1"/>
    <col min="8973" max="9212" width="9.125" style="161" customWidth="1"/>
    <col min="9213" max="9213" width="5.625" style="161" customWidth="1"/>
    <col min="9214" max="9214" width="33.625" style="161" customWidth="1"/>
    <col min="9215" max="9215" width="15.625" style="161" customWidth="1"/>
    <col min="9216" max="9216" width="9.625" style="161" customWidth="1"/>
    <col min="9217" max="9217" width="11.75390625" style="161" customWidth="1"/>
    <col min="9218" max="9218" width="13.125" style="161" customWidth="1"/>
    <col min="9219" max="9219" width="10.875" style="161" customWidth="1"/>
    <col min="9220" max="9220" width="9.25390625" style="161" bestFit="1" customWidth="1"/>
    <col min="9221" max="9221" width="12.125" style="161" customWidth="1"/>
    <col min="9222" max="9222" width="12.75390625" style="161" customWidth="1"/>
    <col min="9223" max="9223" width="9.25390625" style="161" customWidth="1"/>
    <col min="9224" max="9224" width="9.25390625" style="161" bestFit="1" customWidth="1"/>
    <col min="9225" max="9225" width="13.125" style="161" customWidth="1"/>
    <col min="9226" max="9226" width="13.625" style="161" customWidth="1"/>
    <col min="9227" max="9227" width="9.625" style="161" customWidth="1"/>
    <col min="9228" max="9228" width="14.875" style="161" customWidth="1"/>
    <col min="9229" max="9468" width="9.125" style="161" customWidth="1"/>
    <col min="9469" max="9469" width="5.625" style="161" customWidth="1"/>
    <col min="9470" max="9470" width="33.625" style="161" customWidth="1"/>
    <col min="9471" max="9471" width="15.625" style="161" customWidth="1"/>
    <col min="9472" max="9472" width="9.625" style="161" customWidth="1"/>
    <col min="9473" max="9473" width="11.75390625" style="161" customWidth="1"/>
    <col min="9474" max="9474" width="13.125" style="161" customWidth="1"/>
    <col min="9475" max="9475" width="10.875" style="161" customWidth="1"/>
    <col min="9476" max="9476" width="9.25390625" style="161" bestFit="1" customWidth="1"/>
    <col min="9477" max="9477" width="12.125" style="161" customWidth="1"/>
    <col min="9478" max="9478" width="12.75390625" style="161" customWidth="1"/>
    <col min="9479" max="9479" width="9.25390625" style="161" customWidth="1"/>
    <col min="9480" max="9480" width="9.25390625" style="161" bestFit="1" customWidth="1"/>
    <col min="9481" max="9481" width="13.125" style="161" customWidth="1"/>
    <col min="9482" max="9482" width="13.625" style="161" customWidth="1"/>
    <col min="9483" max="9483" width="9.625" style="161" customWidth="1"/>
    <col min="9484" max="9484" width="14.875" style="161" customWidth="1"/>
    <col min="9485" max="9724" width="9.125" style="161" customWidth="1"/>
    <col min="9725" max="9725" width="5.625" style="161" customWidth="1"/>
    <col min="9726" max="9726" width="33.625" style="161" customWidth="1"/>
    <col min="9727" max="9727" width="15.625" style="161" customWidth="1"/>
    <col min="9728" max="9728" width="9.625" style="161" customWidth="1"/>
    <col min="9729" max="9729" width="11.75390625" style="161" customWidth="1"/>
    <col min="9730" max="9730" width="13.125" style="161" customWidth="1"/>
    <col min="9731" max="9731" width="10.875" style="161" customWidth="1"/>
    <col min="9732" max="9732" width="9.25390625" style="161" bestFit="1" customWidth="1"/>
    <col min="9733" max="9733" width="12.125" style="161" customWidth="1"/>
    <col min="9734" max="9734" width="12.75390625" style="161" customWidth="1"/>
    <col min="9735" max="9735" width="9.25390625" style="161" customWidth="1"/>
    <col min="9736" max="9736" width="9.25390625" style="161" bestFit="1" customWidth="1"/>
    <col min="9737" max="9737" width="13.125" style="161" customWidth="1"/>
    <col min="9738" max="9738" width="13.625" style="161" customWidth="1"/>
    <col min="9739" max="9739" width="9.625" style="161" customWidth="1"/>
    <col min="9740" max="9740" width="14.875" style="161" customWidth="1"/>
    <col min="9741" max="9980" width="9.125" style="161" customWidth="1"/>
    <col min="9981" max="9981" width="5.625" style="161" customWidth="1"/>
    <col min="9982" max="9982" width="33.625" style="161" customWidth="1"/>
    <col min="9983" max="9983" width="15.625" style="161" customWidth="1"/>
    <col min="9984" max="9984" width="9.625" style="161" customWidth="1"/>
    <col min="9985" max="9985" width="11.75390625" style="161" customWidth="1"/>
    <col min="9986" max="9986" width="13.125" style="161" customWidth="1"/>
    <col min="9987" max="9987" width="10.875" style="161" customWidth="1"/>
    <col min="9988" max="9988" width="9.25390625" style="161" bestFit="1" customWidth="1"/>
    <col min="9989" max="9989" width="12.125" style="161" customWidth="1"/>
    <col min="9990" max="9990" width="12.75390625" style="161" customWidth="1"/>
    <col min="9991" max="9991" width="9.25390625" style="161" customWidth="1"/>
    <col min="9992" max="9992" width="9.25390625" style="161" bestFit="1" customWidth="1"/>
    <col min="9993" max="9993" width="13.125" style="161" customWidth="1"/>
    <col min="9994" max="9994" width="13.625" style="161" customWidth="1"/>
    <col min="9995" max="9995" width="9.625" style="161" customWidth="1"/>
    <col min="9996" max="9996" width="14.875" style="161" customWidth="1"/>
    <col min="9997" max="10236" width="9.125" style="161" customWidth="1"/>
    <col min="10237" max="10237" width="5.625" style="161" customWidth="1"/>
    <col min="10238" max="10238" width="33.625" style="161" customWidth="1"/>
    <col min="10239" max="10239" width="15.625" style="161" customWidth="1"/>
    <col min="10240" max="10240" width="9.625" style="161" customWidth="1"/>
    <col min="10241" max="10241" width="11.75390625" style="161" customWidth="1"/>
    <col min="10242" max="10242" width="13.125" style="161" customWidth="1"/>
    <col min="10243" max="10243" width="10.875" style="161" customWidth="1"/>
    <col min="10244" max="10244" width="9.25390625" style="161" bestFit="1" customWidth="1"/>
    <col min="10245" max="10245" width="12.125" style="161" customWidth="1"/>
    <col min="10246" max="10246" width="12.75390625" style="161" customWidth="1"/>
    <col min="10247" max="10247" width="9.25390625" style="161" customWidth="1"/>
    <col min="10248" max="10248" width="9.25390625" style="161" bestFit="1" customWidth="1"/>
    <col min="10249" max="10249" width="13.125" style="161" customWidth="1"/>
    <col min="10250" max="10250" width="13.625" style="161" customWidth="1"/>
    <col min="10251" max="10251" width="9.625" style="161" customWidth="1"/>
    <col min="10252" max="10252" width="14.875" style="161" customWidth="1"/>
    <col min="10253" max="10492" width="9.125" style="161" customWidth="1"/>
    <col min="10493" max="10493" width="5.625" style="161" customWidth="1"/>
    <col min="10494" max="10494" width="33.625" style="161" customWidth="1"/>
    <col min="10495" max="10495" width="15.625" style="161" customWidth="1"/>
    <col min="10496" max="10496" width="9.625" style="161" customWidth="1"/>
    <col min="10497" max="10497" width="11.75390625" style="161" customWidth="1"/>
    <col min="10498" max="10498" width="13.125" style="161" customWidth="1"/>
    <col min="10499" max="10499" width="10.875" style="161" customWidth="1"/>
    <col min="10500" max="10500" width="9.25390625" style="161" bestFit="1" customWidth="1"/>
    <col min="10501" max="10501" width="12.125" style="161" customWidth="1"/>
    <col min="10502" max="10502" width="12.75390625" style="161" customWidth="1"/>
    <col min="10503" max="10503" width="9.25390625" style="161" customWidth="1"/>
    <col min="10504" max="10504" width="9.25390625" style="161" bestFit="1" customWidth="1"/>
    <col min="10505" max="10505" width="13.125" style="161" customWidth="1"/>
    <col min="10506" max="10506" width="13.625" style="161" customWidth="1"/>
    <col min="10507" max="10507" width="9.625" style="161" customWidth="1"/>
    <col min="10508" max="10508" width="14.875" style="161" customWidth="1"/>
    <col min="10509" max="10748" width="9.125" style="161" customWidth="1"/>
    <col min="10749" max="10749" width="5.625" style="161" customWidth="1"/>
    <col min="10750" max="10750" width="33.625" style="161" customWidth="1"/>
    <col min="10751" max="10751" width="15.625" style="161" customWidth="1"/>
    <col min="10752" max="10752" width="9.625" style="161" customWidth="1"/>
    <col min="10753" max="10753" width="11.75390625" style="161" customWidth="1"/>
    <col min="10754" max="10754" width="13.125" style="161" customWidth="1"/>
    <col min="10755" max="10755" width="10.875" style="161" customWidth="1"/>
    <col min="10756" max="10756" width="9.25390625" style="161" bestFit="1" customWidth="1"/>
    <col min="10757" max="10757" width="12.125" style="161" customWidth="1"/>
    <col min="10758" max="10758" width="12.75390625" style="161" customWidth="1"/>
    <col min="10759" max="10759" width="9.25390625" style="161" customWidth="1"/>
    <col min="10760" max="10760" width="9.25390625" style="161" bestFit="1" customWidth="1"/>
    <col min="10761" max="10761" width="13.125" style="161" customWidth="1"/>
    <col min="10762" max="10762" width="13.625" style="161" customWidth="1"/>
    <col min="10763" max="10763" width="9.625" style="161" customWidth="1"/>
    <col min="10764" max="10764" width="14.875" style="161" customWidth="1"/>
    <col min="10765" max="11004" width="9.125" style="161" customWidth="1"/>
    <col min="11005" max="11005" width="5.625" style="161" customWidth="1"/>
    <col min="11006" max="11006" width="33.625" style="161" customWidth="1"/>
    <col min="11007" max="11007" width="15.625" style="161" customWidth="1"/>
    <col min="11008" max="11008" width="9.625" style="161" customWidth="1"/>
    <col min="11009" max="11009" width="11.75390625" style="161" customWidth="1"/>
    <col min="11010" max="11010" width="13.125" style="161" customWidth="1"/>
    <col min="11011" max="11011" width="10.875" style="161" customWidth="1"/>
    <col min="11012" max="11012" width="9.25390625" style="161" bestFit="1" customWidth="1"/>
    <col min="11013" max="11013" width="12.125" style="161" customWidth="1"/>
    <col min="11014" max="11014" width="12.75390625" style="161" customWidth="1"/>
    <col min="11015" max="11015" width="9.25390625" style="161" customWidth="1"/>
    <col min="11016" max="11016" width="9.25390625" style="161" bestFit="1" customWidth="1"/>
    <col min="11017" max="11017" width="13.125" style="161" customWidth="1"/>
    <col min="11018" max="11018" width="13.625" style="161" customWidth="1"/>
    <col min="11019" max="11019" width="9.625" style="161" customWidth="1"/>
    <col min="11020" max="11020" width="14.875" style="161" customWidth="1"/>
    <col min="11021" max="11260" width="9.125" style="161" customWidth="1"/>
    <col min="11261" max="11261" width="5.625" style="161" customWidth="1"/>
    <col min="11262" max="11262" width="33.625" style="161" customWidth="1"/>
    <col min="11263" max="11263" width="15.625" style="161" customWidth="1"/>
    <col min="11264" max="11264" width="9.625" style="161" customWidth="1"/>
    <col min="11265" max="11265" width="11.75390625" style="161" customWidth="1"/>
    <col min="11266" max="11266" width="13.125" style="161" customWidth="1"/>
    <col min="11267" max="11267" width="10.875" style="161" customWidth="1"/>
    <col min="11268" max="11268" width="9.25390625" style="161" bestFit="1" customWidth="1"/>
    <col min="11269" max="11269" width="12.125" style="161" customWidth="1"/>
    <col min="11270" max="11270" width="12.75390625" style="161" customWidth="1"/>
    <col min="11271" max="11271" width="9.25390625" style="161" customWidth="1"/>
    <col min="11272" max="11272" width="9.25390625" style="161" bestFit="1" customWidth="1"/>
    <col min="11273" max="11273" width="13.125" style="161" customWidth="1"/>
    <col min="11274" max="11274" width="13.625" style="161" customWidth="1"/>
    <col min="11275" max="11275" width="9.625" style="161" customWidth="1"/>
    <col min="11276" max="11276" width="14.875" style="161" customWidth="1"/>
    <col min="11277" max="11516" width="9.125" style="161" customWidth="1"/>
    <col min="11517" max="11517" width="5.625" style="161" customWidth="1"/>
    <col min="11518" max="11518" width="33.625" style="161" customWidth="1"/>
    <col min="11519" max="11519" width="15.625" style="161" customWidth="1"/>
    <col min="11520" max="11520" width="9.625" style="161" customWidth="1"/>
    <col min="11521" max="11521" width="11.75390625" style="161" customWidth="1"/>
    <col min="11522" max="11522" width="13.125" style="161" customWidth="1"/>
    <col min="11523" max="11523" width="10.875" style="161" customWidth="1"/>
    <col min="11524" max="11524" width="9.25390625" style="161" bestFit="1" customWidth="1"/>
    <col min="11525" max="11525" width="12.125" style="161" customWidth="1"/>
    <col min="11526" max="11526" width="12.75390625" style="161" customWidth="1"/>
    <col min="11527" max="11527" width="9.25390625" style="161" customWidth="1"/>
    <col min="11528" max="11528" width="9.25390625" style="161" bestFit="1" customWidth="1"/>
    <col min="11529" max="11529" width="13.125" style="161" customWidth="1"/>
    <col min="11530" max="11530" width="13.625" style="161" customWidth="1"/>
    <col min="11531" max="11531" width="9.625" style="161" customWidth="1"/>
    <col min="11532" max="11532" width="14.875" style="161" customWidth="1"/>
    <col min="11533" max="11772" width="9.125" style="161" customWidth="1"/>
    <col min="11773" max="11773" width="5.625" style="161" customWidth="1"/>
    <col min="11774" max="11774" width="33.625" style="161" customWidth="1"/>
    <col min="11775" max="11775" width="15.625" style="161" customWidth="1"/>
    <col min="11776" max="11776" width="9.625" style="161" customWidth="1"/>
    <col min="11777" max="11777" width="11.75390625" style="161" customWidth="1"/>
    <col min="11778" max="11778" width="13.125" style="161" customWidth="1"/>
    <col min="11779" max="11779" width="10.875" style="161" customWidth="1"/>
    <col min="11780" max="11780" width="9.25390625" style="161" bestFit="1" customWidth="1"/>
    <col min="11781" max="11781" width="12.125" style="161" customWidth="1"/>
    <col min="11782" max="11782" width="12.75390625" style="161" customWidth="1"/>
    <col min="11783" max="11783" width="9.25390625" style="161" customWidth="1"/>
    <col min="11784" max="11784" width="9.25390625" style="161" bestFit="1" customWidth="1"/>
    <col min="11785" max="11785" width="13.125" style="161" customWidth="1"/>
    <col min="11786" max="11786" width="13.625" style="161" customWidth="1"/>
    <col min="11787" max="11787" width="9.625" style="161" customWidth="1"/>
    <col min="11788" max="11788" width="14.875" style="161" customWidth="1"/>
    <col min="11789" max="12028" width="9.125" style="161" customWidth="1"/>
    <col min="12029" max="12029" width="5.625" style="161" customWidth="1"/>
    <col min="12030" max="12030" width="33.625" style="161" customWidth="1"/>
    <col min="12031" max="12031" width="15.625" style="161" customWidth="1"/>
    <col min="12032" max="12032" width="9.625" style="161" customWidth="1"/>
    <col min="12033" max="12033" width="11.75390625" style="161" customWidth="1"/>
    <col min="12034" max="12034" width="13.125" style="161" customWidth="1"/>
    <col min="12035" max="12035" width="10.875" style="161" customWidth="1"/>
    <col min="12036" max="12036" width="9.25390625" style="161" bestFit="1" customWidth="1"/>
    <col min="12037" max="12037" width="12.125" style="161" customWidth="1"/>
    <col min="12038" max="12038" width="12.75390625" style="161" customWidth="1"/>
    <col min="12039" max="12039" width="9.25390625" style="161" customWidth="1"/>
    <col min="12040" max="12040" width="9.25390625" style="161" bestFit="1" customWidth="1"/>
    <col min="12041" max="12041" width="13.125" style="161" customWidth="1"/>
    <col min="12042" max="12042" width="13.625" style="161" customWidth="1"/>
    <col min="12043" max="12043" width="9.625" style="161" customWidth="1"/>
    <col min="12044" max="12044" width="14.875" style="161" customWidth="1"/>
    <col min="12045" max="12284" width="9.125" style="161" customWidth="1"/>
    <col min="12285" max="12285" width="5.625" style="161" customWidth="1"/>
    <col min="12286" max="12286" width="33.625" style="161" customWidth="1"/>
    <col min="12287" max="12287" width="15.625" style="161" customWidth="1"/>
    <col min="12288" max="12288" width="9.625" style="161" customWidth="1"/>
    <col min="12289" max="12289" width="11.75390625" style="161" customWidth="1"/>
    <col min="12290" max="12290" width="13.125" style="161" customWidth="1"/>
    <col min="12291" max="12291" width="10.875" style="161" customWidth="1"/>
    <col min="12292" max="12292" width="9.25390625" style="161" bestFit="1" customWidth="1"/>
    <col min="12293" max="12293" width="12.125" style="161" customWidth="1"/>
    <col min="12294" max="12294" width="12.75390625" style="161" customWidth="1"/>
    <col min="12295" max="12295" width="9.25390625" style="161" customWidth="1"/>
    <col min="12296" max="12296" width="9.25390625" style="161" bestFit="1" customWidth="1"/>
    <col min="12297" max="12297" width="13.125" style="161" customWidth="1"/>
    <col min="12298" max="12298" width="13.625" style="161" customWidth="1"/>
    <col min="12299" max="12299" width="9.625" style="161" customWidth="1"/>
    <col min="12300" max="12300" width="14.875" style="161" customWidth="1"/>
    <col min="12301" max="12540" width="9.125" style="161" customWidth="1"/>
    <col min="12541" max="12541" width="5.625" style="161" customWidth="1"/>
    <col min="12542" max="12542" width="33.625" style="161" customWidth="1"/>
    <col min="12543" max="12543" width="15.625" style="161" customWidth="1"/>
    <col min="12544" max="12544" width="9.625" style="161" customWidth="1"/>
    <col min="12545" max="12545" width="11.75390625" style="161" customWidth="1"/>
    <col min="12546" max="12546" width="13.125" style="161" customWidth="1"/>
    <col min="12547" max="12547" width="10.875" style="161" customWidth="1"/>
    <col min="12548" max="12548" width="9.25390625" style="161" bestFit="1" customWidth="1"/>
    <col min="12549" max="12549" width="12.125" style="161" customWidth="1"/>
    <col min="12550" max="12550" width="12.75390625" style="161" customWidth="1"/>
    <col min="12551" max="12551" width="9.25390625" style="161" customWidth="1"/>
    <col min="12552" max="12552" width="9.25390625" style="161" bestFit="1" customWidth="1"/>
    <col min="12553" max="12553" width="13.125" style="161" customWidth="1"/>
    <col min="12554" max="12554" width="13.625" style="161" customWidth="1"/>
    <col min="12555" max="12555" width="9.625" style="161" customWidth="1"/>
    <col min="12556" max="12556" width="14.875" style="161" customWidth="1"/>
    <col min="12557" max="12796" width="9.125" style="161" customWidth="1"/>
    <col min="12797" max="12797" width="5.625" style="161" customWidth="1"/>
    <col min="12798" max="12798" width="33.625" style="161" customWidth="1"/>
    <col min="12799" max="12799" width="15.625" style="161" customWidth="1"/>
    <col min="12800" max="12800" width="9.625" style="161" customWidth="1"/>
    <col min="12801" max="12801" width="11.75390625" style="161" customWidth="1"/>
    <col min="12802" max="12802" width="13.125" style="161" customWidth="1"/>
    <col min="12803" max="12803" width="10.875" style="161" customWidth="1"/>
    <col min="12804" max="12804" width="9.25390625" style="161" bestFit="1" customWidth="1"/>
    <col min="12805" max="12805" width="12.125" style="161" customWidth="1"/>
    <col min="12806" max="12806" width="12.75390625" style="161" customWidth="1"/>
    <col min="12807" max="12807" width="9.25390625" style="161" customWidth="1"/>
    <col min="12808" max="12808" width="9.25390625" style="161" bestFit="1" customWidth="1"/>
    <col min="12809" max="12809" width="13.125" style="161" customWidth="1"/>
    <col min="12810" max="12810" width="13.625" style="161" customWidth="1"/>
    <col min="12811" max="12811" width="9.625" style="161" customWidth="1"/>
    <col min="12812" max="12812" width="14.875" style="161" customWidth="1"/>
    <col min="12813" max="13052" width="9.125" style="161" customWidth="1"/>
    <col min="13053" max="13053" width="5.625" style="161" customWidth="1"/>
    <col min="13054" max="13054" width="33.625" style="161" customWidth="1"/>
    <col min="13055" max="13055" width="15.625" style="161" customWidth="1"/>
    <col min="13056" max="13056" width="9.625" style="161" customWidth="1"/>
    <col min="13057" max="13057" width="11.75390625" style="161" customWidth="1"/>
    <col min="13058" max="13058" width="13.125" style="161" customWidth="1"/>
    <col min="13059" max="13059" width="10.875" style="161" customWidth="1"/>
    <col min="13060" max="13060" width="9.25390625" style="161" bestFit="1" customWidth="1"/>
    <col min="13061" max="13061" width="12.125" style="161" customWidth="1"/>
    <col min="13062" max="13062" width="12.75390625" style="161" customWidth="1"/>
    <col min="13063" max="13063" width="9.25390625" style="161" customWidth="1"/>
    <col min="13064" max="13064" width="9.25390625" style="161" bestFit="1" customWidth="1"/>
    <col min="13065" max="13065" width="13.125" style="161" customWidth="1"/>
    <col min="13066" max="13066" width="13.625" style="161" customWidth="1"/>
    <col min="13067" max="13067" width="9.625" style="161" customWidth="1"/>
    <col min="13068" max="13068" width="14.875" style="161" customWidth="1"/>
    <col min="13069" max="13308" width="9.125" style="161" customWidth="1"/>
    <col min="13309" max="13309" width="5.625" style="161" customWidth="1"/>
    <col min="13310" max="13310" width="33.625" style="161" customWidth="1"/>
    <col min="13311" max="13311" width="15.625" style="161" customWidth="1"/>
    <col min="13312" max="13312" width="9.625" style="161" customWidth="1"/>
    <col min="13313" max="13313" width="11.75390625" style="161" customWidth="1"/>
    <col min="13314" max="13314" width="13.125" style="161" customWidth="1"/>
    <col min="13315" max="13315" width="10.875" style="161" customWidth="1"/>
    <col min="13316" max="13316" width="9.25390625" style="161" bestFit="1" customWidth="1"/>
    <col min="13317" max="13317" width="12.125" style="161" customWidth="1"/>
    <col min="13318" max="13318" width="12.75390625" style="161" customWidth="1"/>
    <col min="13319" max="13319" width="9.25390625" style="161" customWidth="1"/>
    <col min="13320" max="13320" width="9.25390625" style="161" bestFit="1" customWidth="1"/>
    <col min="13321" max="13321" width="13.125" style="161" customWidth="1"/>
    <col min="13322" max="13322" width="13.625" style="161" customWidth="1"/>
    <col min="13323" max="13323" width="9.625" style="161" customWidth="1"/>
    <col min="13324" max="13324" width="14.875" style="161" customWidth="1"/>
    <col min="13325" max="13564" width="9.125" style="161" customWidth="1"/>
    <col min="13565" max="13565" width="5.625" style="161" customWidth="1"/>
    <col min="13566" max="13566" width="33.625" style="161" customWidth="1"/>
    <col min="13567" max="13567" width="15.625" style="161" customWidth="1"/>
    <col min="13568" max="13568" width="9.625" style="161" customWidth="1"/>
    <col min="13569" max="13569" width="11.75390625" style="161" customWidth="1"/>
    <col min="13570" max="13570" width="13.125" style="161" customWidth="1"/>
    <col min="13571" max="13571" width="10.875" style="161" customWidth="1"/>
    <col min="13572" max="13572" width="9.25390625" style="161" bestFit="1" customWidth="1"/>
    <col min="13573" max="13573" width="12.125" style="161" customWidth="1"/>
    <col min="13574" max="13574" width="12.75390625" style="161" customWidth="1"/>
    <col min="13575" max="13575" width="9.25390625" style="161" customWidth="1"/>
    <col min="13576" max="13576" width="9.25390625" style="161" bestFit="1" customWidth="1"/>
    <col min="13577" max="13577" width="13.125" style="161" customWidth="1"/>
    <col min="13578" max="13578" width="13.625" style="161" customWidth="1"/>
    <col min="13579" max="13579" width="9.625" style="161" customWidth="1"/>
    <col min="13580" max="13580" width="14.875" style="161" customWidth="1"/>
    <col min="13581" max="13820" width="9.125" style="161" customWidth="1"/>
    <col min="13821" max="13821" width="5.625" style="161" customWidth="1"/>
    <col min="13822" max="13822" width="33.625" style="161" customWidth="1"/>
    <col min="13823" max="13823" width="15.625" style="161" customWidth="1"/>
    <col min="13824" max="13824" width="9.625" style="161" customWidth="1"/>
    <col min="13825" max="13825" width="11.75390625" style="161" customWidth="1"/>
    <col min="13826" max="13826" width="13.125" style="161" customWidth="1"/>
    <col min="13827" max="13827" width="10.875" style="161" customWidth="1"/>
    <col min="13828" max="13828" width="9.25390625" style="161" bestFit="1" customWidth="1"/>
    <col min="13829" max="13829" width="12.125" style="161" customWidth="1"/>
    <col min="13830" max="13830" width="12.75390625" style="161" customWidth="1"/>
    <col min="13831" max="13831" width="9.25390625" style="161" customWidth="1"/>
    <col min="13832" max="13832" width="9.25390625" style="161" bestFit="1" customWidth="1"/>
    <col min="13833" max="13833" width="13.125" style="161" customWidth="1"/>
    <col min="13834" max="13834" width="13.625" style="161" customWidth="1"/>
    <col min="13835" max="13835" width="9.625" style="161" customWidth="1"/>
    <col min="13836" max="13836" width="14.875" style="161" customWidth="1"/>
    <col min="13837" max="14076" width="9.125" style="161" customWidth="1"/>
    <col min="14077" max="14077" width="5.625" style="161" customWidth="1"/>
    <col min="14078" max="14078" width="33.625" style="161" customWidth="1"/>
    <col min="14079" max="14079" width="15.625" style="161" customWidth="1"/>
    <col min="14080" max="14080" width="9.625" style="161" customWidth="1"/>
    <col min="14081" max="14081" width="11.75390625" style="161" customWidth="1"/>
    <col min="14082" max="14082" width="13.125" style="161" customWidth="1"/>
    <col min="14083" max="14083" width="10.875" style="161" customWidth="1"/>
    <col min="14084" max="14084" width="9.25390625" style="161" bestFit="1" customWidth="1"/>
    <col min="14085" max="14085" width="12.125" style="161" customWidth="1"/>
    <col min="14086" max="14086" width="12.75390625" style="161" customWidth="1"/>
    <col min="14087" max="14087" width="9.25390625" style="161" customWidth="1"/>
    <col min="14088" max="14088" width="9.25390625" style="161" bestFit="1" customWidth="1"/>
    <col min="14089" max="14089" width="13.125" style="161" customWidth="1"/>
    <col min="14090" max="14090" width="13.625" style="161" customWidth="1"/>
    <col min="14091" max="14091" width="9.625" style="161" customWidth="1"/>
    <col min="14092" max="14092" width="14.875" style="161" customWidth="1"/>
    <col min="14093" max="14332" width="9.125" style="161" customWidth="1"/>
    <col min="14333" max="14333" width="5.625" style="161" customWidth="1"/>
    <col min="14334" max="14334" width="33.625" style="161" customWidth="1"/>
    <col min="14335" max="14335" width="15.625" style="161" customWidth="1"/>
    <col min="14336" max="14336" width="9.625" style="161" customWidth="1"/>
    <col min="14337" max="14337" width="11.75390625" style="161" customWidth="1"/>
    <col min="14338" max="14338" width="13.125" style="161" customWidth="1"/>
    <col min="14339" max="14339" width="10.875" style="161" customWidth="1"/>
    <col min="14340" max="14340" width="9.25390625" style="161" bestFit="1" customWidth="1"/>
    <col min="14341" max="14341" width="12.125" style="161" customWidth="1"/>
    <col min="14342" max="14342" width="12.75390625" style="161" customWidth="1"/>
    <col min="14343" max="14343" width="9.25390625" style="161" customWidth="1"/>
    <col min="14344" max="14344" width="9.25390625" style="161" bestFit="1" customWidth="1"/>
    <col min="14345" max="14345" width="13.125" style="161" customWidth="1"/>
    <col min="14346" max="14346" width="13.625" style="161" customWidth="1"/>
    <col min="14347" max="14347" width="9.625" style="161" customWidth="1"/>
    <col min="14348" max="14348" width="14.875" style="161" customWidth="1"/>
    <col min="14349" max="14588" width="9.125" style="161" customWidth="1"/>
    <col min="14589" max="14589" width="5.625" style="161" customWidth="1"/>
    <col min="14590" max="14590" width="33.625" style="161" customWidth="1"/>
    <col min="14591" max="14591" width="15.625" style="161" customWidth="1"/>
    <col min="14592" max="14592" width="9.625" style="161" customWidth="1"/>
    <col min="14593" max="14593" width="11.75390625" style="161" customWidth="1"/>
    <col min="14594" max="14594" width="13.125" style="161" customWidth="1"/>
    <col min="14595" max="14595" width="10.875" style="161" customWidth="1"/>
    <col min="14596" max="14596" width="9.25390625" style="161" bestFit="1" customWidth="1"/>
    <col min="14597" max="14597" width="12.125" style="161" customWidth="1"/>
    <col min="14598" max="14598" width="12.75390625" style="161" customWidth="1"/>
    <col min="14599" max="14599" width="9.25390625" style="161" customWidth="1"/>
    <col min="14600" max="14600" width="9.25390625" style="161" bestFit="1" customWidth="1"/>
    <col min="14601" max="14601" width="13.125" style="161" customWidth="1"/>
    <col min="14602" max="14602" width="13.625" style="161" customWidth="1"/>
    <col min="14603" max="14603" width="9.625" style="161" customWidth="1"/>
    <col min="14604" max="14604" width="14.875" style="161" customWidth="1"/>
    <col min="14605" max="14844" width="9.125" style="161" customWidth="1"/>
    <col min="14845" max="14845" width="5.625" style="161" customWidth="1"/>
    <col min="14846" max="14846" width="33.625" style="161" customWidth="1"/>
    <col min="14847" max="14847" width="15.625" style="161" customWidth="1"/>
    <col min="14848" max="14848" width="9.625" style="161" customWidth="1"/>
    <col min="14849" max="14849" width="11.75390625" style="161" customWidth="1"/>
    <col min="14850" max="14850" width="13.125" style="161" customWidth="1"/>
    <col min="14851" max="14851" width="10.875" style="161" customWidth="1"/>
    <col min="14852" max="14852" width="9.25390625" style="161" bestFit="1" customWidth="1"/>
    <col min="14853" max="14853" width="12.125" style="161" customWidth="1"/>
    <col min="14854" max="14854" width="12.75390625" style="161" customWidth="1"/>
    <col min="14855" max="14855" width="9.25390625" style="161" customWidth="1"/>
    <col min="14856" max="14856" width="9.25390625" style="161" bestFit="1" customWidth="1"/>
    <col min="14857" max="14857" width="13.125" style="161" customWidth="1"/>
    <col min="14858" max="14858" width="13.625" style="161" customWidth="1"/>
    <col min="14859" max="14859" width="9.625" style="161" customWidth="1"/>
    <col min="14860" max="14860" width="14.875" style="161" customWidth="1"/>
    <col min="14861" max="15100" width="9.125" style="161" customWidth="1"/>
    <col min="15101" max="15101" width="5.625" style="161" customWidth="1"/>
    <col min="15102" max="15102" width="33.625" style="161" customWidth="1"/>
    <col min="15103" max="15103" width="15.625" style="161" customWidth="1"/>
    <col min="15104" max="15104" width="9.625" style="161" customWidth="1"/>
    <col min="15105" max="15105" width="11.75390625" style="161" customWidth="1"/>
    <col min="15106" max="15106" width="13.125" style="161" customWidth="1"/>
    <col min="15107" max="15107" width="10.875" style="161" customWidth="1"/>
    <col min="15108" max="15108" width="9.25390625" style="161" bestFit="1" customWidth="1"/>
    <col min="15109" max="15109" width="12.125" style="161" customWidth="1"/>
    <col min="15110" max="15110" width="12.75390625" style="161" customWidth="1"/>
    <col min="15111" max="15111" width="9.25390625" style="161" customWidth="1"/>
    <col min="15112" max="15112" width="9.25390625" style="161" bestFit="1" customWidth="1"/>
    <col min="15113" max="15113" width="13.125" style="161" customWidth="1"/>
    <col min="15114" max="15114" width="13.625" style="161" customWidth="1"/>
    <col min="15115" max="15115" width="9.625" style="161" customWidth="1"/>
    <col min="15116" max="15116" width="14.875" style="161" customWidth="1"/>
    <col min="15117" max="15356" width="9.125" style="161" customWidth="1"/>
    <col min="15357" max="15357" width="5.625" style="161" customWidth="1"/>
    <col min="15358" max="15358" width="33.625" style="161" customWidth="1"/>
    <col min="15359" max="15359" width="15.625" style="161" customWidth="1"/>
    <col min="15360" max="15360" width="9.625" style="161" customWidth="1"/>
    <col min="15361" max="15361" width="11.75390625" style="161" customWidth="1"/>
    <col min="15362" max="15362" width="13.125" style="161" customWidth="1"/>
    <col min="15363" max="15363" width="10.875" style="161" customWidth="1"/>
    <col min="15364" max="15364" width="9.25390625" style="161" bestFit="1" customWidth="1"/>
    <col min="15365" max="15365" width="12.125" style="161" customWidth="1"/>
    <col min="15366" max="15366" width="12.75390625" style="161" customWidth="1"/>
    <col min="15367" max="15367" width="9.25390625" style="161" customWidth="1"/>
    <col min="15368" max="15368" width="9.25390625" style="161" bestFit="1" customWidth="1"/>
    <col min="15369" max="15369" width="13.125" style="161" customWidth="1"/>
    <col min="15370" max="15370" width="13.625" style="161" customWidth="1"/>
    <col min="15371" max="15371" width="9.625" style="161" customWidth="1"/>
    <col min="15372" max="15372" width="14.875" style="161" customWidth="1"/>
    <col min="15373" max="15612" width="9.125" style="161" customWidth="1"/>
    <col min="15613" max="15613" width="5.625" style="161" customWidth="1"/>
    <col min="15614" max="15614" width="33.625" style="161" customWidth="1"/>
    <col min="15615" max="15615" width="15.625" style="161" customWidth="1"/>
    <col min="15616" max="15616" width="9.625" style="161" customWidth="1"/>
    <col min="15617" max="15617" width="11.75390625" style="161" customWidth="1"/>
    <col min="15618" max="15618" width="13.125" style="161" customWidth="1"/>
    <col min="15619" max="15619" width="10.875" style="161" customWidth="1"/>
    <col min="15620" max="15620" width="9.25390625" style="161" bestFit="1" customWidth="1"/>
    <col min="15621" max="15621" width="12.125" style="161" customWidth="1"/>
    <col min="15622" max="15622" width="12.75390625" style="161" customWidth="1"/>
    <col min="15623" max="15623" width="9.25390625" style="161" customWidth="1"/>
    <col min="15624" max="15624" width="9.25390625" style="161" bestFit="1" customWidth="1"/>
    <col min="15625" max="15625" width="13.125" style="161" customWidth="1"/>
    <col min="15626" max="15626" width="13.625" style="161" customWidth="1"/>
    <col min="15627" max="15627" width="9.625" style="161" customWidth="1"/>
    <col min="15628" max="15628" width="14.875" style="161" customWidth="1"/>
    <col min="15629" max="15868" width="9.125" style="161" customWidth="1"/>
    <col min="15869" max="15869" width="5.625" style="161" customWidth="1"/>
    <col min="15870" max="15870" width="33.625" style="161" customWidth="1"/>
    <col min="15871" max="15871" width="15.625" style="161" customWidth="1"/>
    <col min="15872" max="15872" width="9.625" style="161" customWidth="1"/>
    <col min="15873" max="15873" width="11.75390625" style="161" customWidth="1"/>
    <col min="15874" max="15874" width="13.125" style="161" customWidth="1"/>
    <col min="15875" max="15875" width="10.875" style="161" customWidth="1"/>
    <col min="15876" max="15876" width="9.25390625" style="161" bestFit="1" customWidth="1"/>
    <col min="15877" max="15877" width="12.125" style="161" customWidth="1"/>
    <col min="15878" max="15878" width="12.75390625" style="161" customWidth="1"/>
    <col min="15879" max="15879" width="9.25390625" style="161" customWidth="1"/>
    <col min="15880" max="15880" width="9.25390625" style="161" bestFit="1" customWidth="1"/>
    <col min="15881" max="15881" width="13.125" style="161" customWidth="1"/>
    <col min="15882" max="15882" width="13.625" style="161" customWidth="1"/>
    <col min="15883" max="15883" width="9.625" style="161" customWidth="1"/>
    <col min="15884" max="15884" width="14.875" style="161" customWidth="1"/>
    <col min="15885" max="16124" width="9.125" style="161" customWidth="1"/>
    <col min="16125" max="16125" width="5.625" style="161" customWidth="1"/>
    <col min="16126" max="16126" width="33.625" style="161" customWidth="1"/>
    <col min="16127" max="16127" width="15.625" style="161" customWidth="1"/>
    <col min="16128" max="16128" width="9.625" style="161" customWidth="1"/>
    <col min="16129" max="16129" width="11.75390625" style="161" customWidth="1"/>
    <col min="16130" max="16130" width="13.125" style="161" customWidth="1"/>
    <col min="16131" max="16131" width="10.875" style="161" customWidth="1"/>
    <col min="16132" max="16132" width="9.25390625" style="161" bestFit="1" customWidth="1"/>
    <col min="16133" max="16133" width="12.125" style="161" customWidth="1"/>
    <col min="16134" max="16134" width="12.75390625" style="161" customWidth="1"/>
    <col min="16135" max="16135" width="9.25390625" style="161" customWidth="1"/>
    <col min="16136" max="16136" width="9.25390625" style="161" bestFit="1" customWidth="1"/>
    <col min="16137" max="16137" width="13.125" style="161" customWidth="1"/>
    <col min="16138" max="16138" width="13.625" style="161" customWidth="1"/>
    <col min="16139" max="16139" width="9.625" style="161" customWidth="1"/>
    <col min="16140" max="16140" width="14.875" style="161" customWidth="1"/>
    <col min="16141" max="16384" width="9.125" style="161" customWidth="1"/>
  </cols>
  <sheetData>
    <row r="1" spans="1:12" ht="48" customHeight="1">
      <c r="A1" s="429" t="s">
        <v>1064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ht="12.75">
      <c r="A2" s="433" t="s">
        <v>353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</row>
    <row r="3" spans="1:12" ht="12.75">
      <c r="A3" s="433" t="s">
        <v>456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</row>
    <row r="4" spans="1:12" ht="12.7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7.25" customHeight="1">
      <c r="A5" s="438" t="s">
        <v>354</v>
      </c>
      <c r="B5" s="438" t="s">
        <v>355</v>
      </c>
      <c r="C5" s="438" t="s">
        <v>494</v>
      </c>
      <c r="D5" s="435" t="s">
        <v>476</v>
      </c>
      <c r="E5" s="436"/>
      <c r="F5" s="436"/>
      <c r="G5" s="437"/>
      <c r="H5" s="435" t="s">
        <v>458</v>
      </c>
      <c r="I5" s="436"/>
      <c r="J5" s="436"/>
      <c r="K5" s="437"/>
      <c r="L5" s="434" t="s">
        <v>492</v>
      </c>
    </row>
    <row r="6" spans="1:12" ht="78.75">
      <c r="A6" s="439"/>
      <c r="B6" s="439"/>
      <c r="C6" s="439"/>
      <c r="D6" s="164" t="s">
        <v>356</v>
      </c>
      <c r="E6" s="164" t="s">
        <v>357</v>
      </c>
      <c r="F6" s="164" t="s">
        <v>358</v>
      </c>
      <c r="G6" s="165" t="s">
        <v>359</v>
      </c>
      <c r="H6" s="164" t="s">
        <v>356</v>
      </c>
      <c r="I6" s="164" t="s">
        <v>357</v>
      </c>
      <c r="J6" s="164" t="s">
        <v>358</v>
      </c>
      <c r="K6" s="165" t="s">
        <v>359</v>
      </c>
      <c r="L6" s="434"/>
    </row>
    <row r="7" spans="1:12" s="170" customFormat="1" ht="12.75">
      <c r="A7" s="166" t="s">
        <v>360</v>
      </c>
      <c r="B7" s="166" t="s">
        <v>27</v>
      </c>
      <c r="C7" s="167" t="s">
        <v>361</v>
      </c>
      <c r="D7" s="168">
        <f>D8</f>
        <v>2360.8999999999996</v>
      </c>
      <c r="E7" s="168">
        <f aca="true" t="shared" si="0" ref="E7:F8">E8</f>
        <v>0</v>
      </c>
      <c r="F7" s="168">
        <f t="shared" si="0"/>
        <v>0</v>
      </c>
      <c r="G7" s="168">
        <f aca="true" t="shared" si="1" ref="G7:G8">D7+E7+F7</f>
        <v>2360.8999999999996</v>
      </c>
      <c r="H7" s="168">
        <f>H8</f>
        <v>2110.7999999999997</v>
      </c>
      <c r="I7" s="168">
        <f aca="true" t="shared" si="2" ref="I7:K8">I8</f>
        <v>0</v>
      </c>
      <c r="J7" s="168">
        <f t="shared" si="2"/>
        <v>0</v>
      </c>
      <c r="K7" s="168">
        <f t="shared" si="2"/>
        <v>2110.7999999999997</v>
      </c>
      <c r="L7" s="169" t="s">
        <v>59</v>
      </c>
    </row>
    <row r="8" spans="1:12" ht="12.75">
      <c r="A8" s="171" t="s">
        <v>362</v>
      </c>
      <c r="B8" s="155" t="s">
        <v>90</v>
      </c>
      <c r="C8" s="172" t="s">
        <v>361</v>
      </c>
      <c r="D8" s="173">
        <f>D9</f>
        <v>2360.8999999999996</v>
      </c>
      <c r="E8" s="173">
        <f t="shared" si="0"/>
        <v>0</v>
      </c>
      <c r="F8" s="173">
        <f t="shared" si="0"/>
        <v>0</v>
      </c>
      <c r="G8" s="173">
        <f t="shared" si="1"/>
        <v>2360.8999999999996</v>
      </c>
      <c r="H8" s="173">
        <f>H9</f>
        <v>2110.7999999999997</v>
      </c>
      <c r="I8" s="173">
        <f t="shared" si="2"/>
        <v>0</v>
      </c>
      <c r="J8" s="173">
        <f t="shared" si="2"/>
        <v>0</v>
      </c>
      <c r="K8" s="173">
        <f aca="true" t="shared" si="3" ref="K8">H8+I8+J8</f>
        <v>2110.7999999999997</v>
      </c>
      <c r="L8" s="174" t="s">
        <v>7</v>
      </c>
    </row>
    <row r="9" spans="1:12" ht="83.25" customHeight="1">
      <c r="A9" s="171" t="s">
        <v>363</v>
      </c>
      <c r="B9" s="175" t="s">
        <v>364</v>
      </c>
      <c r="C9" s="176" t="s">
        <v>365</v>
      </c>
      <c r="D9" s="164">
        <f>'№ 7'!E216</f>
        <v>2360.8999999999996</v>
      </c>
      <c r="E9" s="173">
        <v>0</v>
      </c>
      <c r="F9" s="173">
        <v>0</v>
      </c>
      <c r="G9" s="173">
        <f>D9+E9+F9</f>
        <v>2360.8999999999996</v>
      </c>
      <c r="H9" s="173">
        <f>'№ 6'!G178</f>
        <v>2110.7999999999997</v>
      </c>
      <c r="I9" s="173">
        <v>0</v>
      </c>
      <c r="J9" s="173">
        <v>0</v>
      </c>
      <c r="K9" s="173">
        <f>H9+I9+J9</f>
        <v>2110.7999999999997</v>
      </c>
      <c r="L9" s="174" t="s">
        <v>7</v>
      </c>
    </row>
    <row r="10" spans="1:12" ht="12.75">
      <c r="A10" s="166" t="s">
        <v>366</v>
      </c>
      <c r="B10" s="166" t="s">
        <v>29</v>
      </c>
      <c r="C10" s="167" t="s">
        <v>361</v>
      </c>
      <c r="D10" s="168">
        <f>D11</f>
        <v>2359</v>
      </c>
      <c r="E10" s="168">
        <f aca="true" t="shared" si="4" ref="E10:K10">E11</f>
        <v>0</v>
      </c>
      <c r="F10" s="168">
        <f t="shared" si="4"/>
        <v>0</v>
      </c>
      <c r="G10" s="168">
        <f t="shared" si="4"/>
        <v>2359</v>
      </c>
      <c r="H10" s="168">
        <f t="shared" si="4"/>
        <v>2357</v>
      </c>
      <c r="I10" s="168">
        <f t="shared" si="4"/>
        <v>0</v>
      </c>
      <c r="J10" s="168">
        <f t="shared" si="4"/>
        <v>0</v>
      </c>
      <c r="K10" s="168">
        <f t="shared" si="4"/>
        <v>2357</v>
      </c>
      <c r="L10" s="169" t="s">
        <v>60</v>
      </c>
    </row>
    <row r="11" spans="1:12" ht="12.75">
      <c r="A11" s="171" t="s">
        <v>367</v>
      </c>
      <c r="B11" s="155" t="s">
        <v>294</v>
      </c>
      <c r="C11" s="172" t="s">
        <v>361</v>
      </c>
      <c r="D11" s="177">
        <f>D12+D13</f>
        <v>2359</v>
      </c>
      <c r="E11" s="177">
        <f aca="true" t="shared" si="5" ref="E11:K11">E12+E13</f>
        <v>0</v>
      </c>
      <c r="F11" s="177">
        <f t="shared" si="5"/>
        <v>0</v>
      </c>
      <c r="G11" s="177">
        <f t="shared" si="5"/>
        <v>2359</v>
      </c>
      <c r="H11" s="177">
        <f t="shared" si="5"/>
        <v>2357</v>
      </c>
      <c r="I11" s="177">
        <f t="shared" si="5"/>
        <v>0</v>
      </c>
      <c r="J11" s="177">
        <f t="shared" si="5"/>
        <v>0</v>
      </c>
      <c r="K11" s="177">
        <f t="shared" si="5"/>
        <v>2357</v>
      </c>
      <c r="L11" s="174" t="s">
        <v>293</v>
      </c>
    </row>
    <row r="12" spans="1:12" ht="112.5" customHeight="1">
      <c r="A12" s="171" t="s">
        <v>368</v>
      </c>
      <c r="B12" s="171" t="s">
        <v>1053</v>
      </c>
      <c r="C12" s="176" t="s">
        <v>365</v>
      </c>
      <c r="D12" s="177">
        <v>789</v>
      </c>
      <c r="E12" s="173">
        <v>0</v>
      </c>
      <c r="F12" s="173">
        <v>0</v>
      </c>
      <c r="G12" s="178">
        <f aca="true" t="shared" si="6" ref="G12:G16">D12+E12+F12</f>
        <v>789</v>
      </c>
      <c r="H12" s="177">
        <v>789</v>
      </c>
      <c r="I12" s="173">
        <v>0</v>
      </c>
      <c r="J12" s="173">
        <v>0</v>
      </c>
      <c r="K12" s="178">
        <f aca="true" t="shared" si="7" ref="K12:K16">H12+I12+J12</f>
        <v>789</v>
      </c>
      <c r="L12" s="174" t="s">
        <v>293</v>
      </c>
    </row>
    <row r="13" spans="1:12" ht="78.75">
      <c r="A13" s="171" t="s">
        <v>369</v>
      </c>
      <c r="B13" s="171" t="s">
        <v>1054</v>
      </c>
      <c r="C13" s="176" t="s">
        <v>365</v>
      </c>
      <c r="D13" s="177">
        <f>'№ 6'!F217</f>
        <v>1570</v>
      </c>
      <c r="E13" s="173">
        <v>0</v>
      </c>
      <c r="F13" s="173">
        <v>0</v>
      </c>
      <c r="G13" s="178">
        <f t="shared" si="6"/>
        <v>1570</v>
      </c>
      <c r="H13" s="173">
        <v>1568</v>
      </c>
      <c r="I13" s="173">
        <v>0</v>
      </c>
      <c r="J13" s="173">
        <v>0</v>
      </c>
      <c r="K13" s="178">
        <f t="shared" si="7"/>
        <v>1568</v>
      </c>
      <c r="L13" s="174" t="s">
        <v>293</v>
      </c>
    </row>
    <row r="14" spans="1:12" s="170" customFormat="1" ht="12.75">
      <c r="A14" s="166" t="s">
        <v>370</v>
      </c>
      <c r="B14" s="166" t="s">
        <v>31</v>
      </c>
      <c r="C14" s="167" t="s">
        <v>361</v>
      </c>
      <c r="D14" s="168">
        <f aca="true" t="shared" si="8" ref="D14:F15">D15</f>
        <v>25089.5</v>
      </c>
      <c r="E14" s="168">
        <f t="shared" si="8"/>
        <v>29900.4</v>
      </c>
      <c r="F14" s="168">
        <f t="shared" si="8"/>
        <v>66076.8</v>
      </c>
      <c r="G14" s="168">
        <f t="shared" si="6"/>
        <v>121066.70000000001</v>
      </c>
      <c r="H14" s="168">
        <f aca="true" t="shared" si="9" ref="H14:J15">H15</f>
        <v>14421.4</v>
      </c>
      <c r="I14" s="168">
        <f t="shared" si="9"/>
        <v>29900.4</v>
      </c>
      <c r="J14" s="168">
        <f t="shared" si="9"/>
        <v>66076.8</v>
      </c>
      <c r="K14" s="168">
        <f t="shared" si="7"/>
        <v>110398.6</v>
      </c>
      <c r="L14" s="169" t="s">
        <v>39</v>
      </c>
    </row>
    <row r="15" spans="1:12" ht="12.75">
      <c r="A15" s="171" t="s">
        <v>371</v>
      </c>
      <c r="B15" s="171" t="s">
        <v>11</v>
      </c>
      <c r="C15" s="172" t="s">
        <v>361</v>
      </c>
      <c r="D15" s="179">
        <f t="shared" si="8"/>
        <v>25089.5</v>
      </c>
      <c r="E15" s="179">
        <f t="shared" si="8"/>
        <v>29900.4</v>
      </c>
      <c r="F15" s="179">
        <f t="shared" si="8"/>
        <v>66076.8</v>
      </c>
      <c r="G15" s="178">
        <f t="shared" si="6"/>
        <v>121066.70000000001</v>
      </c>
      <c r="H15" s="179">
        <f t="shared" si="9"/>
        <v>14421.4</v>
      </c>
      <c r="I15" s="179">
        <f t="shared" si="9"/>
        <v>29900.4</v>
      </c>
      <c r="J15" s="179">
        <f t="shared" si="9"/>
        <v>66076.8</v>
      </c>
      <c r="K15" s="178">
        <f t="shared" si="7"/>
        <v>110398.6</v>
      </c>
      <c r="L15" s="174" t="s">
        <v>53</v>
      </c>
    </row>
    <row r="16" spans="1:12" ht="70.5" customHeight="1">
      <c r="A16" s="171" t="s">
        <v>372</v>
      </c>
      <c r="B16" s="171" t="s">
        <v>373</v>
      </c>
      <c r="C16" s="176" t="s">
        <v>365</v>
      </c>
      <c r="D16" s="173">
        <f>'№ 7'!E347+'№ 7'!E356+238.3+191.7+'№ 7'!E350</f>
        <v>25089.5</v>
      </c>
      <c r="E16" s="173">
        <f>'№ 7'!E346+953+766.9</f>
        <v>29900.4</v>
      </c>
      <c r="F16" s="173">
        <f>'№ 6'!F288-238.3-953-191.7-766.9</f>
        <v>66076.8</v>
      </c>
      <c r="G16" s="178">
        <f t="shared" si="6"/>
        <v>121066.70000000001</v>
      </c>
      <c r="H16" s="173">
        <v>14421.4</v>
      </c>
      <c r="I16" s="173">
        <v>29900.4</v>
      </c>
      <c r="J16" s="173">
        <v>66076.8</v>
      </c>
      <c r="K16" s="178">
        <f t="shared" si="7"/>
        <v>110398.6</v>
      </c>
      <c r="L16" s="174" t="s">
        <v>53</v>
      </c>
    </row>
    <row r="17" spans="1:12" s="170" customFormat="1" ht="12.75">
      <c r="A17" s="166" t="s">
        <v>374</v>
      </c>
      <c r="B17" s="166" t="s">
        <v>33</v>
      </c>
      <c r="C17" s="167" t="s">
        <v>361</v>
      </c>
      <c r="D17" s="168">
        <f>D18</f>
        <v>0</v>
      </c>
      <c r="E17" s="168">
        <f aca="true" t="shared" si="10" ref="E17:J18">E18</f>
        <v>6851.4</v>
      </c>
      <c r="F17" s="168">
        <f t="shared" si="10"/>
        <v>1957.6</v>
      </c>
      <c r="G17" s="168">
        <f aca="true" t="shared" si="11" ref="G17:G19">D17+E17+F17</f>
        <v>8809</v>
      </c>
      <c r="H17" s="168">
        <f t="shared" si="10"/>
        <v>0</v>
      </c>
      <c r="I17" s="168">
        <f t="shared" si="10"/>
        <v>6851.3</v>
      </c>
      <c r="J17" s="168">
        <f t="shared" si="10"/>
        <v>1957.5</v>
      </c>
      <c r="K17" s="168">
        <f aca="true" t="shared" si="12" ref="K17:K19">H17+I17+J17</f>
        <v>8808.8</v>
      </c>
      <c r="L17" s="169" t="s">
        <v>41</v>
      </c>
    </row>
    <row r="18" spans="1:12" ht="12.75">
      <c r="A18" s="171" t="s">
        <v>375</v>
      </c>
      <c r="B18" s="171" t="s">
        <v>88</v>
      </c>
      <c r="C18" s="180" t="s">
        <v>361</v>
      </c>
      <c r="D18" s="179">
        <f>D19</f>
        <v>0</v>
      </c>
      <c r="E18" s="179">
        <f t="shared" si="10"/>
        <v>6851.4</v>
      </c>
      <c r="F18" s="179">
        <f t="shared" si="10"/>
        <v>1957.6</v>
      </c>
      <c r="G18" s="178">
        <f t="shared" si="11"/>
        <v>8809</v>
      </c>
      <c r="H18" s="179">
        <f>H19</f>
        <v>0</v>
      </c>
      <c r="I18" s="179">
        <f t="shared" si="10"/>
        <v>6851.3</v>
      </c>
      <c r="J18" s="179">
        <f t="shared" si="10"/>
        <v>1957.5</v>
      </c>
      <c r="K18" s="178">
        <f t="shared" si="12"/>
        <v>8808.8</v>
      </c>
      <c r="L18" s="174" t="s">
        <v>87</v>
      </c>
    </row>
    <row r="19" spans="1:12" ht="129" customHeight="1">
      <c r="A19" s="171" t="s">
        <v>376</v>
      </c>
      <c r="B19" s="171" t="s">
        <v>377</v>
      </c>
      <c r="C19" s="171" t="s">
        <v>3</v>
      </c>
      <c r="D19" s="173">
        <v>0</v>
      </c>
      <c r="E19" s="173">
        <f>'№ 7'!E584</f>
        <v>6851.4</v>
      </c>
      <c r="F19" s="173">
        <f>'№ 7'!E589</f>
        <v>1957.6</v>
      </c>
      <c r="G19" s="178">
        <f t="shared" si="11"/>
        <v>8809</v>
      </c>
      <c r="H19" s="173">
        <v>0</v>
      </c>
      <c r="I19" s="173">
        <f>'№ 7'!F584</f>
        <v>6851.3</v>
      </c>
      <c r="J19" s="173">
        <f>'№ 7'!F589</f>
        <v>1957.5</v>
      </c>
      <c r="K19" s="178">
        <f t="shared" si="12"/>
        <v>8808.8</v>
      </c>
      <c r="L19" s="174" t="s">
        <v>87</v>
      </c>
    </row>
    <row r="20" spans="1:12" s="170" customFormat="1" ht="15.75" customHeight="1">
      <c r="A20" s="181"/>
      <c r="B20" s="181" t="s">
        <v>0</v>
      </c>
      <c r="C20" s="182"/>
      <c r="D20" s="168">
        <f aca="true" t="shared" si="13" ref="D20:K20">D17+D14+D10+D7</f>
        <v>29809.4</v>
      </c>
      <c r="E20" s="168">
        <f t="shared" si="13"/>
        <v>36751.8</v>
      </c>
      <c r="F20" s="168">
        <f t="shared" si="13"/>
        <v>68034.40000000001</v>
      </c>
      <c r="G20" s="168">
        <f t="shared" si="13"/>
        <v>134595.6</v>
      </c>
      <c r="H20" s="168">
        <f t="shared" si="13"/>
        <v>18889.2</v>
      </c>
      <c r="I20" s="168">
        <f t="shared" si="13"/>
        <v>36751.700000000004</v>
      </c>
      <c r="J20" s="168">
        <f t="shared" si="13"/>
        <v>68034.3</v>
      </c>
      <c r="K20" s="168">
        <f t="shared" si="13"/>
        <v>123675.20000000001</v>
      </c>
      <c r="L20" s="183" t="s">
        <v>361</v>
      </c>
    </row>
    <row r="21" spans="1:12" ht="14.25" customHeight="1">
      <c r="A21" s="184"/>
      <c r="B21" s="184"/>
      <c r="C21" s="185"/>
      <c r="D21" s="186"/>
      <c r="E21" s="186"/>
      <c r="F21" s="186"/>
      <c r="G21" s="187"/>
      <c r="H21" s="186"/>
      <c r="I21" s="186"/>
      <c r="J21" s="186"/>
      <c r="K21" s="187"/>
      <c r="L21" s="188"/>
    </row>
    <row r="22" spans="1:12" ht="2.25" customHeight="1" hidden="1">
      <c r="A22" s="184"/>
      <c r="B22" s="184"/>
      <c r="C22" s="185"/>
      <c r="D22" s="186"/>
      <c r="E22" s="186"/>
      <c r="F22" s="186"/>
      <c r="G22" s="187"/>
      <c r="H22" s="186"/>
      <c r="I22" s="186"/>
      <c r="J22" s="186"/>
      <c r="K22" s="187"/>
      <c r="L22" s="188"/>
    </row>
    <row r="23" spans="1:12" ht="12.75" hidden="1">
      <c r="A23" s="184"/>
      <c r="B23" s="184"/>
      <c r="C23" s="185"/>
      <c r="D23" s="186"/>
      <c r="E23" s="186"/>
      <c r="F23" s="186"/>
      <c r="G23" s="187"/>
      <c r="H23" s="186"/>
      <c r="I23" s="186"/>
      <c r="J23" s="186"/>
      <c r="K23" s="187"/>
      <c r="L23" s="188"/>
    </row>
    <row r="24" spans="1:12" ht="12.75" hidden="1">
      <c r="A24" s="184"/>
      <c r="B24" s="184"/>
      <c r="C24" s="185"/>
      <c r="D24" s="186" t="e">
        <f>#REF!+#REF!+#REF!</f>
        <v>#REF!</v>
      </c>
      <c r="E24" s="186" t="e">
        <f>#REF!+#REF!+#REF!</f>
        <v>#REF!</v>
      </c>
      <c r="F24" s="186" t="e">
        <f>#REF!+#REF!+#REF!</f>
        <v>#REF!</v>
      </c>
      <c r="G24" s="186" t="e">
        <f>#REF!+#REF!+#REF!</f>
        <v>#REF!</v>
      </c>
      <c r="H24" s="186" t="e">
        <f>#REF!+#REF!+#REF!</f>
        <v>#REF!</v>
      </c>
      <c r="I24" s="186" t="e">
        <f>#REF!+#REF!+#REF!</f>
        <v>#REF!</v>
      </c>
      <c r="J24" s="186" t="e">
        <f>#REF!+#REF!+#REF!</f>
        <v>#REF!</v>
      </c>
      <c r="K24" s="186" t="e">
        <f>#REF!+#REF!+#REF!</f>
        <v>#REF!</v>
      </c>
      <c r="L24" s="188"/>
    </row>
  </sheetData>
  <mergeCells count="9">
    <mergeCell ref="A1:L1"/>
    <mergeCell ref="A2:L2"/>
    <mergeCell ref="A3:L3"/>
    <mergeCell ref="L5:L6"/>
    <mergeCell ref="D5:G5"/>
    <mergeCell ref="H5:K5"/>
    <mergeCell ref="A5:A6"/>
    <mergeCell ref="B5:B6"/>
    <mergeCell ref="C5:C6"/>
  </mergeCells>
  <printOptions/>
  <pageMargins left="0.8661417322834646" right="0.15748031496062992" top="0.9055118110236221" bottom="0.35433070866141736" header="0.31496062992125984" footer="0.1968503937007874"/>
  <pageSetup fitToHeight="1" fitToWidth="1" horizontalDpi="600" verticalDpi="600" orientation="landscape" paperSize="9" scale="64" r:id="rId1"/>
  <rowBreaks count="1" manualBreakCount="1">
    <brk id="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90" zoomScaleNormal="90" workbookViewId="0" topLeftCell="A1">
      <selection activeCell="B3" sqref="B3:D3"/>
    </sheetView>
  </sheetViews>
  <sheetFormatPr defaultColWidth="14.75390625" defaultRowHeight="12.75"/>
  <cols>
    <col min="1" max="1" width="8.25390625" style="275" customWidth="1"/>
    <col min="2" max="2" width="53.125" style="275" customWidth="1"/>
    <col min="3" max="3" width="12.75390625" style="275" customWidth="1"/>
    <col min="4" max="4" width="14.375" style="275" customWidth="1"/>
    <col min="5" max="5" width="32.25390625" style="275" customWidth="1"/>
    <col min="6" max="255" width="14.75390625" style="275" customWidth="1"/>
    <col min="256" max="256" width="8.25390625" style="275" customWidth="1"/>
    <col min="257" max="257" width="53.125" style="275" customWidth="1"/>
    <col min="258" max="258" width="18.00390625" style="275" customWidth="1"/>
    <col min="259" max="260" width="17.625" style="275" customWidth="1"/>
    <col min="261" max="261" width="32.25390625" style="275" customWidth="1"/>
    <col min="262" max="511" width="14.75390625" style="275" customWidth="1"/>
    <col min="512" max="512" width="8.25390625" style="275" customWidth="1"/>
    <col min="513" max="513" width="53.125" style="275" customWidth="1"/>
    <col min="514" max="514" width="18.00390625" style="275" customWidth="1"/>
    <col min="515" max="516" width="17.625" style="275" customWidth="1"/>
    <col min="517" max="517" width="32.25390625" style="275" customWidth="1"/>
    <col min="518" max="767" width="14.75390625" style="275" customWidth="1"/>
    <col min="768" max="768" width="8.25390625" style="275" customWidth="1"/>
    <col min="769" max="769" width="53.125" style="275" customWidth="1"/>
    <col min="770" max="770" width="18.00390625" style="275" customWidth="1"/>
    <col min="771" max="772" width="17.625" style="275" customWidth="1"/>
    <col min="773" max="773" width="32.25390625" style="275" customWidth="1"/>
    <col min="774" max="1023" width="14.75390625" style="275" customWidth="1"/>
    <col min="1024" max="1024" width="8.25390625" style="275" customWidth="1"/>
    <col min="1025" max="1025" width="53.125" style="275" customWidth="1"/>
    <col min="1026" max="1026" width="18.00390625" style="275" customWidth="1"/>
    <col min="1027" max="1028" width="17.625" style="275" customWidth="1"/>
    <col min="1029" max="1029" width="32.25390625" style="275" customWidth="1"/>
    <col min="1030" max="1279" width="14.75390625" style="275" customWidth="1"/>
    <col min="1280" max="1280" width="8.25390625" style="275" customWidth="1"/>
    <col min="1281" max="1281" width="53.125" style="275" customWidth="1"/>
    <col min="1282" max="1282" width="18.00390625" style="275" customWidth="1"/>
    <col min="1283" max="1284" width="17.625" style="275" customWidth="1"/>
    <col min="1285" max="1285" width="32.25390625" style="275" customWidth="1"/>
    <col min="1286" max="1535" width="14.75390625" style="275" customWidth="1"/>
    <col min="1536" max="1536" width="8.25390625" style="275" customWidth="1"/>
    <col min="1537" max="1537" width="53.125" style="275" customWidth="1"/>
    <col min="1538" max="1538" width="18.00390625" style="275" customWidth="1"/>
    <col min="1539" max="1540" width="17.625" style="275" customWidth="1"/>
    <col min="1541" max="1541" width="32.25390625" style="275" customWidth="1"/>
    <col min="1542" max="1791" width="14.75390625" style="275" customWidth="1"/>
    <col min="1792" max="1792" width="8.25390625" style="275" customWidth="1"/>
    <col min="1793" max="1793" width="53.125" style="275" customWidth="1"/>
    <col min="1794" max="1794" width="18.00390625" style="275" customWidth="1"/>
    <col min="1795" max="1796" width="17.625" style="275" customWidth="1"/>
    <col min="1797" max="1797" width="32.25390625" style="275" customWidth="1"/>
    <col min="1798" max="2047" width="14.75390625" style="275" customWidth="1"/>
    <col min="2048" max="2048" width="8.25390625" style="275" customWidth="1"/>
    <col min="2049" max="2049" width="53.125" style="275" customWidth="1"/>
    <col min="2050" max="2050" width="18.00390625" style="275" customWidth="1"/>
    <col min="2051" max="2052" width="17.625" style="275" customWidth="1"/>
    <col min="2053" max="2053" width="32.25390625" style="275" customWidth="1"/>
    <col min="2054" max="2303" width="14.75390625" style="275" customWidth="1"/>
    <col min="2304" max="2304" width="8.25390625" style="275" customWidth="1"/>
    <col min="2305" max="2305" width="53.125" style="275" customWidth="1"/>
    <col min="2306" max="2306" width="18.00390625" style="275" customWidth="1"/>
    <col min="2307" max="2308" width="17.625" style="275" customWidth="1"/>
    <col min="2309" max="2309" width="32.25390625" style="275" customWidth="1"/>
    <col min="2310" max="2559" width="14.75390625" style="275" customWidth="1"/>
    <col min="2560" max="2560" width="8.25390625" style="275" customWidth="1"/>
    <col min="2561" max="2561" width="53.125" style="275" customWidth="1"/>
    <col min="2562" max="2562" width="18.00390625" style="275" customWidth="1"/>
    <col min="2563" max="2564" width="17.625" style="275" customWidth="1"/>
    <col min="2565" max="2565" width="32.25390625" style="275" customWidth="1"/>
    <col min="2566" max="2815" width="14.75390625" style="275" customWidth="1"/>
    <col min="2816" max="2816" width="8.25390625" style="275" customWidth="1"/>
    <col min="2817" max="2817" width="53.125" style="275" customWidth="1"/>
    <col min="2818" max="2818" width="18.00390625" style="275" customWidth="1"/>
    <col min="2819" max="2820" width="17.625" style="275" customWidth="1"/>
    <col min="2821" max="2821" width="32.25390625" style="275" customWidth="1"/>
    <col min="2822" max="3071" width="14.75390625" style="275" customWidth="1"/>
    <col min="3072" max="3072" width="8.25390625" style="275" customWidth="1"/>
    <col min="3073" max="3073" width="53.125" style="275" customWidth="1"/>
    <col min="3074" max="3074" width="18.00390625" style="275" customWidth="1"/>
    <col min="3075" max="3076" width="17.625" style="275" customWidth="1"/>
    <col min="3077" max="3077" width="32.25390625" style="275" customWidth="1"/>
    <col min="3078" max="3327" width="14.75390625" style="275" customWidth="1"/>
    <col min="3328" max="3328" width="8.25390625" style="275" customWidth="1"/>
    <col min="3329" max="3329" width="53.125" style="275" customWidth="1"/>
    <col min="3330" max="3330" width="18.00390625" style="275" customWidth="1"/>
    <col min="3331" max="3332" width="17.625" style="275" customWidth="1"/>
    <col min="3333" max="3333" width="32.25390625" style="275" customWidth="1"/>
    <col min="3334" max="3583" width="14.75390625" style="275" customWidth="1"/>
    <col min="3584" max="3584" width="8.25390625" style="275" customWidth="1"/>
    <col min="3585" max="3585" width="53.125" style="275" customWidth="1"/>
    <col min="3586" max="3586" width="18.00390625" style="275" customWidth="1"/>
    <col min="3587" max="3588" width="17.625" style="275" customWidth="1"/>
    <col min="3589" max="3589" width="32.25390625" style="275" customWidth="1"/>
    <col min="3590" max="3839" width="14.75390625" style="275" customWidth="1"/>
    <col min="3840" max="3840" width="8.25390625" style="275" customWidth="1"/>
    <col min="3841" max="3841" width="53.125" style="275" customWidth="1"/>
    <col min="3842" max="3842" width="18.00390625" style="275" customWidth="1"/>
    <col min="3843" max="3844" width="17.625" style="275" customWidth="1"/>
    <col min="3845" max="3845" width="32.25390625" style="275" customWidth="1"/>
    <col min="3846" max="4095" width="14.75390625" style="275" customWidth="1"/>
    <col min="4096" max="4096" width="8.25390625" style="275" customWidth="1"/>
    <col min="4097" max="4097" width="53.125" style="275" customWidth="1"/>
    <col min="4098" max="4098" width="18.00390625" style="275" customWidth="1"/>
    <col min="4099" max="4100" width="17.625" style="275" customWidth="1"/>
    <col min="4101" max="4101" width="32.25390625" style="275" customWidth="1"/>
    <col min="4102" max="4351" width="14.75390625" style="275" customWidth="1"/>
    <col min="4352" max="4352" width="8.25390625" style="275" customWidth="1"/>
    <col min="4353" max="4353" width="53.125" style="275" customWidth="1"/>
    <col min="4354" max="4354" width="18.00390625" style="275" customWidth="1"/>
    <col min="4355" max="4356" width="17.625" style="275" customWidth="1"/>
    <col min="4357" max="4357" width="32.25390625" style="275" customWidth="1"/>
    <col min="4358" max="4607" width="14.75390625" style="275" customWidth="1"/>
    <col min="4608" max="4608" width="8.25390625" style="275" customWidth="1"/>
    <col min="4609" max="4609" width="53.125" style="275" customWidth="1"/>
    <col min="4610" max="4610" width="18.00390625" style="275" customWidth="1"/>
    <col min="4611" max="4612" width="17.625" style="275" customWidth="1"/>
    <col min="4613" max="4613" width="32.25390625" style="275" customWidth="1"/>
    <col min="4614" max="4863" width="14.75390625" style="275" customWidth="1"/>
    <col min="4864" max="4864" width="8.25390625" style="275" customWidth="1"/>
    <col min="4865" max="4865" width="53.125" style="275" customWidth="1"/>
    <col min="4866" max="4866" width="18.00390625" style="275" customWidth="1"/>
    <col min="4867" max="4868" width="17.625" style="275" customWidth="1"/>
    <col min="4869" max="4869" width="32.25390625" style="275" customWidth="1"/>
    <col min="4870" max="5119" width="14.75390625" style="275" customWidth="1"/>
    <col min="5120" max="5120" width="8.25390625" style="275" customWidth="1"/>
    <col min="5121" max="5121" width="53.125" style="275" customWidth="1"/>
    <col min="5122" max="5122" width="18.00390625" style="275" customWidth="1"/>
    <col min="5123" max="5124" width="17.625" style="275" customWidth="1"/>
    <col min="5125" max="5125" width="32.25390625" style="275" customWidth="1"/>
    <col min="5126" max="5375" width="14.75390625" style="275" customWidth="1"/>
    <col min="5376" max="5376" width="8.25390625" style="275" customWidth="1"/>
    <col min="5377" max="5377" width="53.125" style="275" customWidth="1"/>
    <col min="5378" max="5378" width="18.00390625" style="275" customWidth="1"/>
    <col min="5379" max="5380" width="17.625" style="275" customWidth="1"/>
    <col min="5381" max="5381" width="32.25390625" style="275" customWidth="1"/>
    <col min="5382" max="5631" width="14.75390625" style="275" customWidth="1"/>
    <col min="5632" max="5632" width="8.25390625" style="275" customWidth="1"/>
    <col min="5633" max="5633" width="53.125" style="275" customWidth="1"/>
    <col min="5634" max="5634" width="18.00390625" style="275" customWidth="1"/>
    <col min="5635" max="5636" width="17.625" style="275" customWidth="1"/>
    <col min="5637" max="5637" width="32.25390625" style="275" customWidth="1"/>
    <col min="5638" max="5887" width="14.75390625" style="275" customWidth="1"/>
    <col min="5888" max="5888" width="8.25390625" style="275" customWidth="1"/>
    <col min="5889" max="5889" width="53.125" style="275" customWidth="1"/>
    <col min="5890" max="5890" width="18.00390625" style="275" customWidth="1"/>
    <col min="5891" max="5892" width="17.625" style="275" customWidth="1"/>
    <col min="5893" max="5893" width="32.25390625" style="275" customWidth="1"/>
    <col min="5894" max="6143" width="14.75390625" style="275" customWidth="1"/>
    <col min="6144" max="6144" width="8.25390625" style="275" customWidth="1"/>
    <col min="6145" max="6145" width="53.125" style="275" customWidth="1"/>
    <col min="6146" max="6146" width="18.00390625" style="275" customWidth="1"/>
    <col min="6147" max="6148" width="17.625" style="275" customWidth="1"/>
    <col min="6149" max="6149" width="32.25390625" style="275" customWidth="1"/>
    <col min="6150" max="6399" width="14.75390625" style="275" customWidth="1"/>
    <col min="6400" max="6400" width="8.25390625" style="275" customWidth="1"/>
    <col min="6401" max="6401" width="53.125" style="275" customWidth="1"/>
    <col min="6402" max="6402" width="18.00390625" style="275" customWidth="1"/>
    <col min="6403" max="6404" width="17.625" style="275" customWidth="1"/>
    <col min="6405" max="6405" width="32.25390625" style="275" customWidth="1"/>
    <col min="6406" max="6655" width="14.75390625" style="275" customWidth="1"/>
    <col min="6656" max="6656" width="8.25390625" style="275" customWidth="1"/>
    <col min="6657" max="6657" width="53.125" style="275" customWidth="1"/>
    <col min="6658" max="6658" width="18.00390625" style="275" customWidth="1"/>
    <col min="6659" max="6660" width="17.625" style="275" customWidth="1"/>
    <col min="6661" max="6661" width="32.25390625" style="275" customWidth="1"/>
    <col min="6662" max="6911" width="14.75390625" style="275" customWidth="1"/>
    <col min="6912" max="6912" width="8.25390625" style="275" customWidth="1"/>
    <col min="6913" max="6913" width="53.125" style="275" customWidth="1"/>
    <col min="6914" max="6914" width="18.00390625" style="275" customWidth="1"/>
    <col min="6915" max="6916" width="17.625" style="275" customWidth="1"/>
    <col min="6917" max="6917" width="32.25390625" style="275" customWidth="1"/>
    <col min="6918" max="7167" width="14.75390625" style="275" customWidth="1"/>
    <col min="7168" max="7168" width="8.25390625" style="275" customWidth="1"/>
    <col min="7169" max="7169" width="53.125" style="275" customWidth="1"/>
    <col min="7170" max="7170" width="18.00390625" style="275" customWidth="1"/>
    <col min="7171" max="7172" width="17.625" style="275" customWidth="1"/>
    <col min="7173" max="7173" width="32.25390625" style="275" customWidth="1"/>
    <col min="7174" max="7423" width="14.75390625" style="275" customWidth="1"/>
    <col min="7424" max="7424" width="8.25390625" style="275" customWidth="1"/>
    <col min="7425" max="7425" width="53.125" style="275" customWidth="1"/>
    <col min="7426" max="7426" width="18.00390625" style="275" customWidth="1"/>
    <col min="7427" max="7428" width="17.625" style="275" customWidth="1"/>
    <col min="7429" max="7429" width="32.25390625" style="275" customWidth="1"/>
    <col min="7430" max="7679" width="14.75390625" style="275" customWidth="1"/>
    <col min="7680" max="7680" width="8.25390625" style="275" customWidth="1"/>
    <col min="7681" max="7681" width="53.125" style="275" customWidth="1"/>
    <col min="7682" max="7682" width="18.00390625" style="275" customWidth="1"/>
    <col min="7683" max="7684" width="17.625" style="275" customWidth="1"/>
    <col min="7685" max="7685" width="32.25390625" style="275" customWidth="1"/>
    <col min="7686" max="7935" width="14.75390625" style="275" customWidth="1"/>
    <col min="7936" max="7936" width="8.25390625" style="275" customWidth="1"/>
    <col min="7937" max="7937" width="53.125" style="275" customWidth="1"/>
    <col min="7938" max="7938" width="18.00390625" style="275" customWidth="1"/>
    <col min="7939" max="7940" width="17.625" style="275" customWidth="1"/>
    <col min="7941" max="7941" width="32.25390625" style="275" customWidth="1"/>
    <col min="7942" max="8191" width="14.75390625" style="275" customWidth="1"/>
    <col min="8192" max="8192" width="8.25390625" style="275" customWidth="1"/>
    <col min="8193" max="8193" width="53.125" style="275" customWidth="1"/>
    <col min="8194" max="8194" width="18.00390625" style="275" customWidth="1"/>
    <col min="8195" max="8196" width="17.625" style="275" customWidth="1"/>
    <col min="8197" max="8197" width="32.25390625" style="275" customWidth="1"/>
    <col min="8198" max="8447" width="14.75390625" style="275" customWidth="1"/>
    <col min="8448" max="8448" width="8.25390625" style="275" customWidth="1"/>
    <col min="8449" max="8449" width="53.125" style="275" customWidth="1"/>
    <col min="8450" max="8450" width="18.00390625" style="275" customWidth="1"/>
    <col min="8451" max="8452" width="17.625" style="275" customWidth="1"/>
    <col min="8453" max="8453" width="32.25390625" style="275" customWidth="1"/>
    <col min="8454" max="8703" width="14.75390625" style="275" customWidth="1"/>
    <col min="8704" max="8704" width="8.25390625" style="275" customWidth="1"/>
    <col min="8705" max="8705" width="53.125" style="275" customWidth="1"/>
    <col min="8706" max="8706" width="18.00390625" style="275" customWidth="1"/>
    <col min="8707" max="8708" width="17.625" style="275" customWidth="1"/>
    <col min="8709" max="8709" width="32.25390625" style="275" customWidth="1"/>
    <col min="8710" max="8959" width="14.75390625" style="275" customWidth="1"/>
    <col min="8960" max="8960" width="8.25390625" style="275" customWidth="1"/>
    <col min="8961" max="8961" width="53.125" style="275" customWidth="1"/>
    <col min="8962" max="8962" width="18.00390625" style="275" customWidth="1"/>
    <col min="8963" max="8964" width="17.625" style="275" customWidth="1"/>
    <col min="8965" max="8965" width="32.25390625" style="275" customWidth="1"/>
    <col min="8966" max="9215" width="14.75390625" style="275" customWidth="1"/>
    <col min="9216" max="9216" width="8.25390625" style="275" customWidth="1"/>
    <col min="9217" max="9217" width="53.125" style="275" customWidth="1"/>
    <col min="9218" max="9218" width="18.00390625" style="275" customWidth="1"/>
    <col min="9219" max="9220" width="17.625" style="275" customWidth="1"/>
    <col min="9221" max="9221" width="32.25390625" style="275" customWidth="1"/>
    <col min="9222" max="9471" width="14.75390625" style="275" customWidth="1"/>
    <col min="9472" max="9472" width="8.25390625" style="275" customWidth="1"/>
    <col min="9473" max="9473" width="53.125" style="275" customWidth="1"/>
    <col min="9474" max="9474" width="18.00390625" style="275" customWidth="1"/>
    <col min="9475" max="9476" width="17.625" style="275" customWidth="1"/>
    <col min="9477" max="9477" width="32.25390625" style="275" customWidth="1"/>
    <col min="9478" max="9727" width="14.75390625" style="275" customWidth="1"/>
    <col min="9728" max="9728" width="8.25390625" style="275" customWidth="1"/>
    <col min="9729" max="9729" width="53.125" style="275" customWidth="1"/>
    <col min="9730" max="9730" width="18.00390625" style="275" customWidth="1"/>
    <col min="9731" max="9732" width="17.625" style="275" customWidth="1"/>
    <col min="9733" max="9733" width="32.25390625" style="275" customWidth="1"/>
    <col min="9734" max="9983" width="14.75390625" style="275" customWidth="1"/>
    <col min="9984" max="9984" width="8.25390625" style="275" customWidth="1"/>
    <col min="9985" max="9985" width="53.125" style="275" customWidth="1"/>
    <col min="9986" max="9986" width="18.00390625" style="275" customWidth="1"/>
    <col min="9987" max="9988" width="17.625" style="275" customWidth="1"/>
    <col min="9989" max="9989" width="32.25390625" style="275" customWidth="1"/>
    <col min="9990" max="10239" width="14.75390625" style="275" customWidth="1"/>
    <col min="10240" max="10240" width="8.25390625" style="275" customWidth="1"/>
    <col min="10241" max="10241" width="53.125" style="275" customWidth="1"/>
    <col min="10242" max="10242" width="18.00390625" style="275" customWidth="1"/>
    <col min="10243" max="10244" width="17.625" style="275" customWidth="1"/>
    <col min="10245" max="10245" width="32.25390625" style="275" customWidth="1"/>
    <col min="10246" max="10495" width="14.75390625" style="275" customWidth="1"/>
    <col min="10496" max="10496" width="8.25390625" style="275" customWidth="1"/>
    <col min="10497" max="10497" width="53.125" style="275" customWidth="1"/>
    <col min="10498" max="10498" width="18.00390625" style="275" customWidth="1"/>
    <col min="10499" max="10500" width="17.625" style="275" customWidth="1"/>
    <col min="10501" max="10501" width="32.25390625" style="275" customWidth="1"/>
    <col min="10502" max="10751" width="14.75390625" style="275" customWidth="1"/>
    <col min="10752" max="10752" width="8.25390625" style="275" customWidth="1"/>
    <col min="10753" max="10753" width="53.125" style="275" customWidth="1"/>
    <col min="10754" max="10754" width="18.00390625" style="275" customWidth="1"/>
    <col min="10755" max="10756" width="17.625" style="275" customWidth="1"/>
    <col min="10757" max="10757" width="32.25390625" style="275" customWidth="1"/>
    <col min="10758" max="11007" width="14.75390625" style="275" customWidth="1"/>
    <col min="11008" max="11008" width="8.25390625" style="275" customWidth="1"/>
    <col min="11009" max="11009" width="53.125" style="275" customWidth="1"/>
    <col min="11010" max="11010" width="18.00390625" style="275" customWidth="1"/>
    <col min="11011" max="11012" width="17.625" style="275" customWidth="1"/>
    <col min="11013" max="11013" width="32.25390625" style="275" customWidth="1"/>
    <col min="11014" max="11263" width="14.75390625" style="275" customWidth="1"/>
    <col min="11264" max="11264" width="8.25390625" style="275" customWidth="1"/>
    <col min="11265" max="11265" width="53.125" style="275" customWidth="1"/>
    <col min="11266" max="11266" width="18.00390625" style="275" customWidth="1"/>
    <col min="11267" max="11268" width="17.625" style="275" customWidth="1"/>
    <col min="11269" max="11269" width="32.25390625" style="275" customWidth="1"/>
    <col min="11270" max="11519" width="14.75390625" style="275" customWidth="1"/>
    <col min="11520" max="11520" width="8.25390625" style="275" customWidth="1"/>
    <col min="11521" max="11521" width="53.125" style="275" customWidth="1"/>
    <col min="11522" max="11522" width="18.00390625" style="275" customWidth="1"/>
    <col min="11523" max="11524" width="17.625" style="275" customWidth="1"/>
    <col min="11525" max="11525" width="32.25390625" style="275" customWidth="1"/>
    <col min="11526" max="11775" width="14.75390625" style="275" customWidth="1"/>
    <col min="11776" max="11776" width="8.25390625" style="275" customWidth="1"/>
    <col min="11777" max="11777" width="53.125" style="275" customWidth="1"/>
    <col min="11778" max="11778" width="18.00390625" style="275" customWidth="1"/>
    <col min="11779" max="11780" width="17.625" style="275" customWidth="1"/>
    <col min="11781" max="11781" width="32.25390625" style="275" customWidth="1"/>
    <col min="11782" max="12031" width="14.75390625" style="275" customWidth="1"/>
    <col min="12032" max="12032" width="8.25390625" style="275" customWidth="1"/>
    <col min="12033" max="12033" width="53.125" style="275" customWidth="1"/>
    <col min="12034" max="12034" width="18.00390625" style="275" customWidth="1"/>
    <col min="12035" max="12036" width="17.625" style="275" customWidth="1"/>
    <col min="12037" max="12037" width="32.25390625" style="275" customWidth="1"/>
    <col min="12038" max="12287" width="14.75390625" style="275" customWidth="1"/>
    <col min="12288" max="12288" width="8.25390625" style="275" customWidth="1"/>
    <col min="12289" max="12289" width="53.125" style="275" customWidth="1"/>
    <col min="12290" max="12290" width="18.00390625" style="275" customWidth="1"/>
    <col min="12291" max="12292" width="17.625" style="275" customWidth="1"/>
    <col min="12293" max="12293" width="32.25390625" style="275" customWidth="1"/>
    <col min="12294" max="12543" width="14.75390625" style="275" customWidth="1"/>
    <col min="12544" max="12544" width="8.25390625" style="275" customWidth="1"/>
    <col min="12545" max="12545" width="53.125" style="275" customWidth="1"/>
    <col min="12546" max="12546" width="18.00390625" style="275" customWidth="1"/>
    <col min="12547" max="12548" width="17.625" style="275" customWidth="1"/>
    <col min="12549" max="12549" width="32.25390625" style="275" customWidth="1"/>
    <col min="12550" max="12799" width="14.75390625" style="275" customWidth="1"/>
    <col min="12800" max="12800" width="8.25390625" style="275" customWidth="1"/>
    <col min="12801" max="12801" width="53.125" style="275" customWidth="1"/>
    <col min="12802" max="12802" width="18.00390625" style="275" customWidth="1"/>
    <col min="12803" max="12804" width="17.625" style="275" customWidth="1"/>
    <col min="12805" max="12805" width="32.25390625" style="275" customWidth="1"/>
    <col min="12806" max="13055" width="14.75390625" style="275" customWidth="1"/>
    <col min="13056" max="13056" width="8.25390625" style="275" customWidth="1"/>
    <col min="13057" max="13057" width="53.125" style="275" customWidth="1"/>
    <col min="13058" max="13058" width="18.00390625" style="275" customWidth="1"/>
    <col min="13059" max="13060" width="17.625" style="275" customWidth="1"/>
    <col min="13061" max="13061" width="32.25390625" style="275" customWidth="1"/>
    <col min="13062" max="13311" width="14.75390625" style="275" customWidth="1"/>
    <col min="13312" max="13312" width="8.25390625" style="275" customWidth="1"/>
    <col min="13313" max="13313" width="53.125" style="275" customWidth="1"/>
    <col min="13314" max="13314" width="18.00390625" style="275" customWidth="1"/>
    <col min="13315" max="13316" width="17.625" style="275" customWidth="1"/>
    <col min="13317" max="13317" width="32.25390625" style="275" customWidth="1"/>
    <col min="13318" max="13567" width="14.75390625" style="275" customWidth="1"/>
    <col min="13568" max="13568" width="8.25390625" style="275" customWidth="1"/>
    <col min="13569" max="13569" width="53.125" style="275" customWidth="1"/>
    <col min="13570" max="13570" width="18.00390625" style="275" customWidth="1"/>
    <col min="13571" max="13572" width="17.625" style="275" customWidth="1"/>
    <col min="13573" max="13573" width="32.25390625" style="275" customWidth="1"/>
    <col min="13574" max="13823" width="14.75390625" style="275" customWidth="1"/>
    <col min="13824" max="13824" width="8.25390625" style="275" customWidth="1"/>
    <col min="13825" max="13825" width="53.125" style="275" customWidth="1"/>
    <col min="13826" max="13826" width="18.00390625" style="275" customWidth="1"/>
    <col min="13827" max="13828" width="17.625" style="275" customWidth="1"/>
    <col min="13829" max="13829" width="32.25390625" style="275" customWidth="1"/>
    <col min="13830" max="14079" width="14.75390625" style="275" customWidth="1"/>
    <col min="14080" max="14080" width="8.25390625" style="275" customWidth="1"/>
    <col min="14081" max="14081" width="53.125" style="275" customWidth="1"/>
    <col min="14082" max="14082" width="18.00390625" style="275" customWidth="1"/>
    <col min="14083" max="14084" width="17.625" style="275" customWidth="1"/>
    <col min="14085" max="14085" width="32.25390625" style="275" customWidth="1"/>
    <col min="14086" max="14335" width="14.75390625" style="275" customWidth="1"/>
    <col min="14336" max="14336" width="8.25390625" style="275" customWidth="1"/>
    <col min="14337" max="14337" width="53.125" style="275" customWidth="1"/>
    <col min="14338" max="14338" width="18.00390625" style="275" customWidth="1"/>
    <col min="14339" max="14340" width="17.625" style="275" customWidth="1"/>
    <col min="14341" max="14341" width="32.25390625" style="275" customWidth="1"/>
    <col min="14342" max="14591" width="14.75390625" style="275" customWidth="1"/>
    <col min="14592" max="14592" width="8.25390625" style="275" customWidth="1"/>
    <col min="14593" max="14593" width="53.125" style="275" customWidth="1"/>
    <col min="14594" max="14594" width="18.00390625" style="275" customWidth="1"/>
    <col min="14595" max="14596" width="17.625" style="275" customWidth="1"/>
    <col min="14597" max="14597" width="32.25390625" style="275" customWidth="1"/>
    <col min="14598" max="14847" width="14.75390625" style="275" customWidth="1"/>
    <col min="14848" max="14848" width="8.25390625" style="275" customWidth="1"/>
    <col min="14849" max="14849" width="53.125" style="275" customWidth="1"/>
    <col min="14850" max="14850" width="18.00390625" style="275" customWidth="1"/>
    <col min="14851" max="14852" width="17.625" style="275" customWidth="1"/>
    <col min="14853" max="14853" width="32.25390625" style="275" customWidth="1"/>
    <col min="14854" max="15103" width="14.75390625" style="275" customWidth="1"/>
    <col min="15104" max="15104" width="8.25390625" style="275" customWidth="1"/>
    <col min="15105" max="15105" width="53.125" style="275" customWidth="1"/>
    <col min="15106" max="15106" width="18.00390625" style="275" customWidth="1"/>
    <col min="15107" max="15108" width="17.625" style="275" customWidth="1"/>
    <col min="15109" max="15109" width="32.25390625" style="275" customWidth="1"/>
    <col min="15110" max="15359" width="14.75390625" style="275" customWidth="1"/>
    <col min="15360" max="15360" width="8.25390625" style="275" customWidth="1"/>
    <col min="15361" max="15361" width="53.125" style="275" customWidth="1"/>
    <col min="15362" max="15362" width="18.00390625" style="275" customWidth="1"/>
    <col min="15363" max="15364" width="17.625" style="275" customWidth="1"/>
    <col min="15365" max="15365" width="32.25390625" style="275" customWidth="1"/>
    <col min="15366" max="15615" width="14.75390625" style="275" customWidth="1"/>
    <col min="15616" max="15616" width="8.25390625" style="275" customWidth="1"/>
    <col min="15617" max="15617" width="53.125" style="275" customWidth="1"/>
    <col min="15618" max="15618" width="18.00390625" style="275" customWidth="1"/>
    <col min="15619" max="15620" width="17.625" style="275" customWidth="1"/>
    <col min="15621" max="15621" width="32.25390625" style="275" customWidth="1"/>
    <col min="15622" max="15871" width="14.75390625" style="275" customWidth="1"/>
    <col min="15872" max="15872" width="8.25390625" style="275" customWidth="1"/>
    <col min="15873" max="15873" width="53.125" style="275" customWidth="1"/>
    <col min="15874" max="15874" width="18.00390625" style="275" customWidth="1"/>
    <col min="15875" max="15876" width="17.625" style="275" customWidth="1"/>
    <col min="15877" max="15877" width="32.25390625" style="275" customWidth="1"/>
    <col min="15878" max="16127" width="14.75390625" style="275" customWidth="1"/>
    <col min="16128" max="16128" width="8.25390625" style="275" customWidth="1"/>
    <col min="16129" max="16129" width="53.125" style="275" customWidth="1"/>
    <col min="16130" max="16130" width="18.00390625" style="275" customWidth="1"/>
    <col min="16131" max="16132" width="17.625" style="275" customWidth="1"/>
    <col min="16133" max="16133" width="32.25390625" style="275" customWidth="1"/>
    <col min="16134" max="16384" width="14.75390625" style="275" customWidth="1"/>
  </cols>
  <sheetData>
    <row r="1" spans="3:4" ht="13.5" customHeight="1">
      <c r="C1" s="442" t="s">
        <v>496</v>
      </c>
      <c r="D1" s="442"/>
    </row>
    <row r="2" spans="2:5" ht="19.5" customHeight="1">
      <c r="B2" s="443" t="s">
        <v>477</v>
      </c>
      <c r="C2" s="443"/>
      <c r="D2" s="443"/>
      <c r="E2" s="276"/>
    </row>
    <row r="3" spans="2:4" ht="12.75">
      <c r="B3" s="442" t="s">
        <v>1057</v>
      </c>
      <c r="C3" s="442"/>
      <c r="D3" s="442"/>
    </row>
    <row r="4" spans="2:4" ht="12.75">
      <c r="B4" s="277"/>
      <c r="C4" s="277"/>
      <c r="D4" s="277"/>
    </row>
    <row r="5" spans="1:4" ht="48" customHeight="1">
      <c r="A5" s="444" t="s">
        <v>491</v>
      </c>
      <c r="B5" s="444"/>
      <c r="C5" s="444"/>
      <c r="D5" s="444"/>
    </row>
    <row r="6" spans="1:4" ht="6.75" customHeight="1">
      <c r="A6" s="445"/>
      <c r="B6" s="445"/>
      <c r="C6" s="445"/>
      <c r="D6" s="445"/>
    </row>
    <row r="7" spans="1:4" ht="20.25" customHeight="1">
      <c r="A7" s="446" t="s">
        <v>478</v>
      </c>
      <c r="B7" s="446"/>
      <c r="C7" s="446"/>
      <c r="D7" s="446"/>
    </row>
    <row r="8" spans="1:4" ht="12.75">
      <c r="A8" s="278"/>
      <c r="D8" s="279" t="s">
        <v>472</v>
      </c>
    </row>
    <row r="9" spans="1:4" s="281" customFormat="1" ht="47.25">
      <c r="A9" s="280" t="s">
        <v>479</v>
      </c>
      <c r="B9" s="280" t="s">
        <v>480</v>
      </c>
      <c r="C9" s="262" t="s">
        <v>457</v>
      </c>
      <c r="D9" s="11" t="s">
        <v>458</v>
      </c>
    </row>
    <row r="10" spans="1:4" s="281" customFormat="1" ht="12.75">
      <c r="A10" s="222">
        <v>1</v>
      </c>
      <c r="B10" s="222">
        <v>2</v>
      </c>
      <c r="C10" s="222">
        <v>3</v>
      </c>
      <c r="D10" s="222">
        <v>4</v>
      </c>
    </row>
    <row r="11" spans="1:4" ht="36" customHeight="1">
      <c r="A11" s="282">
        <v>1</v>
      </c>
      <c r="B11" s="283" t="s">
        <v>481</v>
      </c>
      <c r="C11" s="284">
        <v>14000</v>
      </c>
      <c r="D11" s="226">
        <v>14000</v>
      </c>
    </row>
    <row r="12" spans="1:4" ht="47.25">
      <c r="A12" s="282">
        <v>2</v>
      </c>
      <c r="B12" s="285" t="s">
        <v>482</v>
      </c>
      <c r="C12" s="226">
        <v>32577</v>
      </c>
      <c r="D12" s="226">
        <v>0</v>
      </c>
    </row>
    <row r="13" spans="1:4" ht="20.45" customHeight="1">
      <c r="A13" s="282"/>
      <c r="B13" s="286" t="s">
        <v>483</v>
      </c>
      <c r="C13" s="287">
        <f>C11+C12</f>
        <v>46577</v>
      </c>
      <c r="D13" s="287">
        <f>D11+D12</f>
        <v>14000</v>
      </c>
    </row>
    <row r="14" spans="3:4" ht="12.75">
      <c r="C14" s="279"/>
      <c r="D14" s="279"/>
    </row>
    <row r="15" spans="1:4" ht="20.25" customHeight="1">
      <c r="A15" s="440" t="s">
        <v>484</v>
      </c>
      <c r="B15" s="440"/>
      <c r="C15" s="440"/>
      <c r="D15" s="440"/>
    </row>
    <row r="16" ht="16.5">
      <c r="B16" s="288"/>
    </row>
    <row r="17" spans="1:4" s="281" customFormat="1" ht="47.25">
      <c r="A17" s="280" t="s">
        <v>485</v>
      </c>
      <c r="B17" s="280" t="s">
        <v>486</v>
      </c>
      <c r="C17" s="262" t="s">
        <v>457</v>
      </c>
      <c r="D17" s="11" t="s">
        <v>458</v>
      </c>
    </row>
    <row r="18" spans="1:4" s="281" customFormat="1" ht="12.75">
      <c r="A18" s="222">
        <v>1</v>
      </c>
      <c r="B18" s="222">
        <v>2</v>
      </c>
      <c r="C18" s="222">
        <v>3</v>
      </c>
      <c r="D18" s="222">
        <v>4</v>
      </c>
    </row>
    <row r="19" spans="1:4" ht="31.5">
      <c r="A19" s="289">
        <v>1</v>
      </c>
      <c r="B19" s="283" t="s">
        <v>487</v>
      </c>
      <c r="C19" s="290">
        <f>C21+C22</f>
        <v>44577</v>
      </c>
      <c r="D19" s="290">
        <f>D21+D22</f>
        <v>12000</v>
      </c>
    </row>
    <row r="20" spans="1:4" ht="12.75">
      <c r="A20" s="291"/>
      <c r="B20" s="283" t="s">
        <v>488</v>
      </c>
      <c r="C20" s="289"/>
      <c r="D20" s="290"/>
    </row>
    <row r="21" spans="1:4" ht="17.25" customHeight="1">
      <c r="A21" s="291"/>
      <c r="B21" s="283" t="s">
        <v>489</v>
      </c>
      <c r="C21" s="284">
        <v>12000</v>
      </c>
      <c r="D21" s="284">
        <v>12000</v>
      </c>
    </row>
    <row r="22" spans="1:4" ht="47.25">
      <c r="A22" s="291"/>
      <c r="B22" s="285" t="s">
        <v>490</v>
      </c>
      <c r="C22" s="226">
        <v>32577</v>
      </c>
      <c r="D22" s="226">
        <v>0</v>
      </c>
    </row>
    <row r="23" spans="1:4" ht="21" customHeight="1">
      <c r="A23" s="291"/>
      <c r="B23" s="292" t="s">
        <v>483</v>
      </c>
      <c r="C23" s="293">
        <f>C19</f>
        <v>44577</v>
      </c>
      <c r="D23" s="293">
        <f>D19</f>
        <v>12000</v>
      </c>
    </row>
    <row r="25" spans="2:4" ht="52.9" customHeight="1">
      <c r="B25" s="441"/>
      <c r="C25" s="441"/>
      <c r="D25" s="441"/>
    </row>
  </sheetData>
  <mergeCells count="8">
    <mergeCell ref="A15:D15"/>
    <mergeCell ref="B25:D25"/>
    <mergeCell ref="C1:D1"/>
    <mergeCell ref="B2:D2"/>
    <mergeCell ref="B3:D3"/>
    <mergeCell ref="A5:D5"/>
    <mergeCell ref="A6:D6"/>
    <mergeCell ref="A7:D7"/>
  </mergeCells>
  <printOptions/>
  <pageMargins left="0.7874015748031497" right="0.1968503937007874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view="pageBreakPreview" zoomScale="60" workbookViewId="0" topLeftCell="A1">
      <selection activeCell="A3" sqref="A3:E3"/>
    </sheetView>
  </sheetViews>
  <sheetFormatPr defaultColWidth="9.125" defaultRowHeight="12.75"/>
  <cols>
    <col min="1" max="1" width="44.75390625" style="219" customWidth="1"/>
    <col min="2" max="2" width="17.375" style="219" customWidth="1"/>
    <col min="3" max="3" width="28.125" style="219" customWidth="1"/>
    <col min="4" max="4" width="14.625" style="230" customWidth="1"/>
    <col min="5" max="5" width="14.00390625" style="219" customWidth="1"/>
    <col min="6" max="16384" width="9.125" style="219" customWidth="1"/>
  </cols>
  <sheetData>
    <row r="1" spans="1:5" ht="12.75">
      <c r="A1" s="400" t="s">
        <v>1050</v>
      </c>
      <c r="B1" s="400"/>
      <c r="C1" s="400"/>
      <c r="D1" s="400"/>
      <c r="E1" s="400"/>
    </row>
    <row r="2" spans="1:5" ht="12.75">
      <c r="A2" s="400" t="s">
        <v>459</v>
      </c>
      <c r="B2" s="400"/>
      <c r="C2" s="400"/>
      <c r="D2" s="400"/>
      <c r="E2" s="400"/>
    </row>
    <row r="3" spans="1:5" ht="12.75">
      <c r="A3" s="400" t="s">
        <v>1057</v>
      </c>
      <c r="B3" s="400"/>
      <c r="C3" s="400"/>
      <c r="D3" s="400"/>
      <c r="E3" s="400"/>
    </row>
    <row r="5" spans="1:5" ht="12.75">
      <c r="A5" s="402" t="s">
        <v>460</v>
      </c>
      <c r="B5" s="402"/>
      <c r="C5" s="402"/>
      <c r="D5" s="402"/>
      <c r="E5" s="402"/>
    </row>
    <row r="6" spans="1:5" ht="12.75">
      <c r="A6" s="402" t="s">
        <v>470</v>
      </c>
      <c r="B6" s="402"/>
      <c r="C6" s="402"/>
      <c r="D6" s="402"/>
      <c r="E6" s="402"/>
    </row>
    <row r="7" ht="12.75">
      <c r="E7" s="219" t="s">
        <v>461</v>
      </c>
    </row>
    <row r="8" spans="1:5" ht="12.75">
      <c r="A8" s="406" t="s">
        <v>20</v>
      </c>
      <c r="B8" s="408" t="s">
        <v>462</v>
      </c>
      <c r="C8" s="409"/>
      <c r="D8" s="406" t="s">
        <v>457</v>
      </c>
      <c r="E8" s="406" t="s">
        <v>458</v>
      </c>
    </row>
    <row r="9" spans="1:5" ht="63">
      <c r="A9" s="407"/>
      <c r="B9" s="261" t="s">
        <v>463</v>
      </c>
      <c r="C9" s="261" t="s">
        <v>464</v>
      </c>
      <c r="D9" s="407"/>
      <c r="E9" s="407"/>
    </row>
    <row r="10" spans="1:5" ht="12.75">
      <c r="A10" s="261">
        <v>1</v>
      </c>
      <c r="B10" s="261">
        <v>2</v>
      </c>
      <c r="C10" s="261">
        <v>3</v>
      </c>
      <c r="D10" s="261">
        <v>4</v>
      </c>
      <c r="E10" s="222">
        <v>5</v>
      </c>
    </row>
    <row r="11" spans="1:5" ht="31.5">
      <c r="A11" s="224" t="s">
        <v>432</v>
      </c>
      <c r="B11" s="269" t="s">
        <v>37</v>
      </c>
      <c r="C11" s="224"/>
      <c r="D11" s="225">
        <v>26768.9</v>
      </c>
      <c r="E11" s="225">
        <f>SUM(E12:E17)</f>
        <v>4389.699999999953</v>
      </c>
    </row>
    <row r="12" spans="1:5" ht="63">
      <c r="A12" s="56" t="s">
        <v>435</v>
      </c>
      <c r="B12" s="213" t="s">
        <v>37</v>
      </c>
      <c r="C12" s="214" t="s">
        <v>465</v>
      </c>
      <c r="D12" s="270">
        <v>14000</v>
      </c>
      <c r="E12" s="226">
        <v>14000</v>
      </c>
    </row>
    <row r="13" spans="1:5" ht="63">
      <c r="A13" s="56" t="s">
        <v>397</v>
      </c>
      <c r="B13" s="213" t="s">
        <v>37</v>
      </c>
      <c r="C13" s="214" t="s">
        <v>466</v>
      </c>
      <c r="D13" s="226">
        <v>32577</v>
      </c>
      <c r="E13" s="226">
        <v>0</v>
      </c>
    </row>
    <row r="14" spans="1:5" ht="63">
      <c r="A14" s="56" t="s">
        <v>401</v>
      </c>
      <c r="B14" s="213" t="s">
        <v>37</v>
      </c>
      <c r="C14" s="214" t="s">
        <v>400</v>
      </c>
      <c r="D14" s="226">
        <v>-12000</v>
      </c>
      <c r="E14" s="226">
        <v>-12000</v>
      </c>
    </row>
    <row r="15" spans="1:5" ht="63">
      <c r="A15" s="56" t="s">
        <v>403</v>
      </c>
      <c r="B15" s="213" t="s">
        <v>37</v>
      </c>
      <c r="C15" s="214" t="s">
        <v>467</v>
      </c>
      <c r="D15" s="226">
        <v>-32577</v>
      </c>
      <c r="E15" s="226">
        <v>0</v>
      </c>
    </row>
    <row r="16" spans="1:5" ht="31.5">
      <c r="A16" s="56" t="s">
        <v>411</v>
      </c>
      <c r="B16" s="213" t="s">
        <v>37</v>
      </c>
      <c r="C16" s="214" t="s">
        <v>468</v>
      </c>
      <c r="D16" s="226">
        <v>-981368</v>
      </c>
      <c r="E16" s="262">
        <v>-969593.8</v>
      </c>
    </row>
    <row r="17" spans="1:5" ht="31.5">
      <c r="A17" s="56" t="s">
        <v>417</v>
      </c>
      <c r="B17" s="213" t="s">
        <v>37</v>
      </c>
      <c r="C17" s="214" t="s">
        <v>469</v>
      </c>
      <c r="D17" s="226">
        <v>1003275.5</v>
      </c>
      <c r="E17" s="262">
        <v>971983.5</v>
      </c>
    </row>
    <row r="18" spans="1:5" ht="31.9" customHeight="1">
      <c r="A18" s="403" t="s">
        <v>418</v>
      </c>
      <c r="B18" s="404"/>
      <c r="C18" s="405"/>
      <c r="D18" s="225">
        <v>26768.9</v>
      </c>
      <c r="E18" s="225">
        <f>E11</f>
        <v>4389.699999999953</v>
      </c>
    </row>
    <row r="20" spans="1:5" s="230" customFormat="1" ht="12.75">
      <c r="A20" s="229"/>
      <c r="B20" s="229"/>
      <c r="C20" s="229"/>
      <c r="E20" s="219"/>
    </row>
    <row r="21" spans="1:5" s="230" customFormat="1" ht="12.75">
      <c r="A21" s="258"/>
      <c r="B21" s="258"/>
      <c r="C21" s="258"/>
      <c r="E21" s="219"/>
    </row>
  </sheetData>
  <mergeCells count="10">
    <mergeCell ref="A18:C18"/>
    <mergeCell ref="A1:E1"/>
    <mergeCell ref="A2:E2"/>
    <mergeCell ref="A3:E3"/>
    <mergeCell ref="A5:E5"/>
    <mergeCell ref="A6:E6"/>
    <mergeCell ref="A8:A9"/>
    <mergeCell ref="B8:C8"/>
    <mergeCell ref="D8:D9"/>
    <mergeCell ref="E8:E9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6"/>
  <sheetViews>
    <sheetView view="pageBreakPreview" zoomScale="60" workbookViewId="0" topLeftCell="A1">
      <selection activeCell="B12" sqref="B12"/>
    </sheetView>
  </sheetViews>
  <sheetFormatPr defaultColWidth="9.125" defaultRowHeight="12.75"/>
  <cols>
    <col min="1" max="1" width="31.75390625" style="309" bestFit="1" customWidth="1"/>
    <col min="2" max="2" width="66.625" style="307" customWidth="1"/>
    <col min="3" max="3" width="15.125" style="311" customWidth="1"/>
    <col min="4" max="4" width="13.75390625" style="311" bestFit="1" customWidth="1"/>
    <col min="5" max="5" width="9.125" style="308" customWidth="1"/>
    <col min="6" max="6" width="18.375" style="360" customWidth="1"/>
    <col min="7" max="16384" width="9.125" style="360" customWidth="1"/>
  </cols>
  <sheetData>
    <row r="1" spans="1:4" ht="12.75">
      <c r="A1" s="306"/>
      <c r="C1" s="410" t="s">
        <v>1051</v>
      </c>
      <c r="D1" s="410"/>
    </row>
    <row r="2" spans="1:4" ht="12.75">
      <c r="A2" s="411" t="s">
        <v>497</v>
      </c>
      <c r="B2" s="411"/>
      <c r="C2" s="411"/>
      <c r="D2" s="411"/>
    </row>
    <row r="3" spans="2:4" ht="12.75">
      <c r="B3" s="411" t="s">
        <v>1058</v>
      </c>
      <c r="C3" s="411"/>
      <c r="D3" s="411"/>
    </row>
    <row r="4" spans="1:2" ht="12.75">
      <c r="A4" s="306"/>
      <c r="B4" s="310"/>
    </row>
    <row r="5" spans="1:4" ht="50.25" customHeight="1">
      <c r="A5" s="412" t="s">
        <v>498</v>
      </c>
      <c r="B5" s="412"/>
      <c r="C5" s="412"/>
      <c r="D5" s="412"/>
    </row>
    <row r="6" spans="1:2" ht="12.75">
      <c r="A6" s="312"/>
      <c r="B6" s="312"/>
    </row>
    <row r="7" spans="1:4" ht="47.25">
      <c r="A7" s="313" t="s">
        <v>499</v>
      </c>
      <c r="B7" s="314" t="s">
        <v>500</v>
      </c>
      <c r="C7" s="315" t="s">
        <v>457</v>
      </c>
      <c r="D7" s="315" t="s">
        <v>458</v>
      </c>
    </row>
    <row r="8" spans="1:4" ht="12.75">
      <c r="A8" s="316" t="s">
        <v>501</v>
      </c>
      <c r="B8" s="317" t="s">
        <v>502</v>
      </c>
      <c r="C8" s="318">
        <f>C9+C14+C24+C29+C37+C40+C54+C65+C71+C109+C61</f>
        <v>391582.2</v>
      </c>
      <c r="D8" s="318">
        <f>D9+D14+D24+D29+D37+D40+D54+D65+D71+D109+D61</f>
        <v>393485</v>
      </c>
    </row>
    <row r="9" spans="1:4" ht="12.75">
      <c r="A9" s="316" t="s">
        <v>503</v>
      </c>
      <c r="B9" s="317" t="s">
        <v>504</v>
      </c>
      <c r="C9" s="318">
        <f>C10</f>
        <v>238275.7</v>
      </c>
      <c r="D9" s="318">
        <f>D10</f>
        <v>241876</v>
      </c>
    </row>
    <row r="10" spans="1:4" ht="12.75">
      <c r="A10" s="316" t="s">
        <v>505</v>
      </c>
      <c r="B10" s="317" t="s">
        <v>506</v>
      </c>
      <c r="C10" s="318">
        <f>C11+C12+C13</f>
        <v>238275.7</v>
      </c>
      <c r="D10" s="318">
        <f>D11+D12+D13</f>
        <v>241876</v>
      </c>
    </row>
    <row r="11" spans="1:4" ht="78.75">
      <c r="A11" s="319" t="s">
        <v>507</v>
      </c>
      <c r="B11" s="320" t="s">
        <v>508</v>
      </c>
      <c r="C11" s="321">
        <v>234286</v>
      </c>
      <c r="D11" s="321">
        <v>238728.4</v>
      </c>
    </row>
    <row r="12" spans="1:4" ht="110.25">
      <c r="A12" s="319" t="s">
        <v>509</v>
      </c>
      <c r="B12" s="320" t="s">
        <v>510</v>
      </c>
      <c r="C12" s="321">
        <v>1138.5</v>
      </c>
      <c r="D12" s="321">
        <v>872.9</v>
      </c>
    </row>
    <row r="13" spans="1:4" ht="47.25">
      <c r="A13" s="319" t="s">
        <v>511</v>
      </c>
      <c r="B13" s="320" t="s">
        <v>512</v>
      </c>
      <c r="C13" s="321">
        <v>2851.2</v>
      </c>
      <c r="D13" s="321">
        <v>2274.7</v>
      </c>
    </row>
    <row r="14" spans="1:4" ht="47.25">
      <c r="A14" s="316" t="s">
        <v>513</v>
      </c>
      <c r="B14" s="317" t="s">
        <v>514</v>
      </c>
      <c r="C14" s="318">
        <f>C15</f>
        <v>2835.8</v>
      </c>
      <c r="D14" s="318">
        <f>D15</f>
        <v>2821.1</v>
      </c>
    </row>
    <row r="15" spans="1:4" s="308" customFormat="1" ht="31.5">
      <c r="A15" s="316" t="s">
        <v>515</v>
      </c>
      <c r="B15" s="317" t="s">
        <v>516</v>
      </c>
      <c r="C15" s="318">
        <f>C16+C18+C20+C22</f>
        <v>2835.8</v>
      </c>
      <c r="D15" s="318">
        <f>D16+D18+D20+D22</f>
        <v>2821.1</v>
      </c>
    </row>
    <row r="16" spans="1:4" s="308" customFormat="1" ht="76.5" customHeight="1">
      <c r="A16" s="319" t="s">
        <v>517</v>
      </c>
      <c r="B16" s="320" t="s">
        <v>518</v>
      </c>
      <c r="C16" s="321">
        <f>C17</f>
        <v>1027.6</v>
      </c>
      <c r="D16" s="321">
        <f>D17</f>
        <v>1301.2</v>
      </c>
    </row>
    <row r="17" spans="1:4" s="308" customFormat="1" ht="110.25">
      <c r="A17" s="319" t="s">
        <v>519</v>
      </c>
      <c r="B17" s="322" t="s">
        <v>520</v>
      </c>
      <c r="C17" s="321">
        <v>1027.6</v>
      </c>
      <c r="D17" s="321">
        <v>1301.2</v>
      </c>
    </row>
    <row r="18" spans="1:4" s="308" customFormat="1" ht="84" customHeight="1">
      <c r="A18" s="319" t="s">
        <v>521</v>
      </c>
      <c r="B18" s="322" t="s">
        <v>522</v>
      </c>
      <c r="C18" s="321">
        <f>C19</f>
        <v>6.8</v>
      </c>
      <c r="D18" s="321">
        <f>D19</f>
        <v>9.3</v>
      </c>
    </row>
    <row r="19" spans="1:4" s="308" customFormat="1" ht="126">
      <c r="A19" s="319" t="s">
        <v>523</v>
      </c>
      <c r="B19" s="323" t="s">
        <v>524</v>
      </c>
      <c r="C19" s="321">
        <v>6.8</v>
      </c>
      <c r="D19" s="321">
        <v>9.3</v>
      </c>
    </row>
    <row r="20" spans="1:4" s="308" customFormat="1" ht="66" customHeight="1">
      <c r="A20" s="319" t="s">
        <v>525</v>
      </c>
      <c r="B20" s="323" t="s">
        <v>526</v>
      </c>
      <c r="C20" s="321">
        <f>C21</f>
        <v>1992.6</v>
      </c>
      <c r="D20" s="321">
        <f>D21</f>
        <v>1750.5</v>
      </c>
    </row>
    <row r="21" spans="1:4" s="308" customFormat="1" ht="114.75" customHeight="1">
      <c r="A21" s="319" t="s">
        <v>527</v>
      </c>
      <c r="B21" s="323" t="s">
        <v>528</v>
      </c>
      <c r="C21" s="321">
        <v>1992.6</v>
      </c>
      <c r="D21" s="321">
        <v>1750.5</v>
      </c>
    </row>
    <row r="22" spans="1:4" s="308" customFormat="1" ht="66.75" customHeight="1">
      <c r="A22" s="319" t="s">
        <v>529</v>
      </c>
      <c r="B22" s="323" t="s">
        <v>530</v>
      </c>
      <c r="C22" s="321">
        <f>C23</f>
        <v>-191.2</v>
      </c>
      <c r="D22" s="321">
        <f>D23</f>
        <v>-239.9</v>
      </c>
    </row>
    <row r="23" spans="1:4" s="308" customFormat="1" ht="113.25" customHeight="1">
      <c r="A23" s="319" t="s">
        <v>531</v>
      </c>
      <c r="B23" s="322" t="s">
        <v>532</v>
      </c>
      <c r="C23" s="321">
        <v>-191.2</v>
      </c>
      <c r="D23" s="321">
        <v>-239.9</v>
      </c>
    </row>
    <row r="24" spans="1:4" s="308" customFormat="1" ht="12.75">
      <c r="A24" s="316" t="s">
        <v>533</v>
      </c>
      <c r="B24" s="317" t="s">
        <v>534</v>
      </c>
      <c r="C24" s="318">
        <f>C25+C27</f>
        <v>36665.1</v>
      </c>
      <c r="D24" s="318">
        <f>D25+D27</f>
        <v>27206.4</v>
      </c>
    </row>
    <row r="25" spans="1:4" s="308" customFormat="1" ht="31.5">
      <c r="A25" s="316" t="s">
        <v>535</v>
      </c>
      <c r="B25" s="317" t="s">
        <v>536</v>
      </c>
      <c r="C25" s="318">
        <f>C26</f>
        <v>29137.1</v>
      </c>
      <c r="D25" s="318">
        <f>D26</f>
        <v>21583.4</v>
      </c>
    </row>
    <row r="26" spans="1:4" s="308" customFormat="1" ht="31.5">
      <c r="A26" s="319" t="s">
        <v>537</v>
      </c>
      <c r="B26" s="320" t="s">
        <v>536</v>
      </c>
      <c r="C26" s="321">
        <f>31726-2588.9</f>
        <v>29137.1</v>
      </c>
      <c r="D26" s="324">
        <v>21583.4</v>
      </c>
    </row>
    <row r="27" spans="1:4" s="308" customFormat="1" ht="31.5">
      <c r="A27" s="325" t="s">
        <v>538</v>
      </c>
      <c r="B27" s="317" t="s">
        <v>539</v>
      </c>
      <c r="C27" s="318">
        <f>C28</f>
        <v>7528</v>
      </c>
      <c r="D27" s="318">
        <f>D28</f>
        <v>5623</v>
      </c>
    </row>
    <row r="28" spans="1:4" s="308" customFormat="1" ht="31.5">
      <c r="A28" s="326" t="s">
        <v>540</v>
      </c>
      <c r="B28" s="320" t="s">
        <v>541</v>
      </c>
      <c r="C28" s="327">
        <v>7528</v>
      </c>
      <c r="D28" s="328">
        <v>5623</v>
      </c>
    </row>
    <row r="29" spans="1:4" s="308" customFormat="1" ht="12.75">
      <c r="A29" s="316" t="s">
        <v>542</v>
      </c>
      <c r="B29" s="317" t="s">
        <v>543</v>
      </c>
      <c r="C29" s="318">
        <f>C30+C32</f>
        <v>62996</v>
      </c>
      <c r="D29" s="318">
        <f>D30+D32</f>
        <v>61077.7</v>
      </c>
    </row>
    <row r="30" spans="1:4" s="308" customFormat="1" ht="12.75">
      <c r="A30" s="316" t="s">
        <v>544</v>
      </c>
      <c r="B30" s="317" t="s">
        <v>545</v>
      </c>
      <c r="C30" s="318">
        <f>C31</f>
        <v>15523</v>
      </c>
      <c r="D30" s="318">
        <f>D31</f>
        <v>18415.3</v>
      </c>
    </row>
    <row r="31" spans="1:4" s="308" customFormat="1" ht="47.25">
      <c r="A31" s="319" t="s">
        <v>546</v>
      </c>
      <c r="B31" s="320" t="s">
        <v>547</v>
      </c>
      <c r="C31" s="329">
        <v>15523</v>
      </c>
      <c r="D31" s="329">
        <v>18415.3</v>
      </c>
    </row>
    <row r="32" spans="1:4" s="308" customFormat="1" ht="12.75">
      <c r="A32" s="316" t="s">
        <v>548</v>
      </c>
      <c r="B32" s="317" t="s">
        <v>549</v>
      </c>
      <c r="C32" s="318">
        <f>C33+C35</f>
        <v>47473</v>
      </c>
      <c r="D32" s="318">
        <f>D33+D35</f>
        <v>42662.4</v>
      </c>
    </row>
    <row r="33" spans="1:4" s="308" customFormat="1" ht="12.75">
      <c r="A33" s="319" t="s">
        <v>550</v>
      </c>
      <c r="B33" s="320" t="s">
        <v>551</v>
      </c>
      <c r="C33" s="321">
        <f>C34</f>
        <v>39539</v>
      </c>
      <c r="D33" s="321">
        <f>D34</f>
        <v>34045.3</v>
      </c>
    </row>
    <row r="34" spans="1:4" s="308" customFormat="1" ht="31.5">
      <c r="A34" s="319" t="s">
        <v>552</v>
      </c>
      <c r="B34" s="320" t="s">
        <v>553</v>
      </c>
      <c r="C34" s="329">
        <v>39539</v>
      </c>
      <c r="D34" s="329">
        <v>34045.3</v>
      </c>
    </row>
    <row r="35" spans="1:4" s="308" customFormat="1" ht="12.75">
      <c r="A35" s="319" t="s">
        <v>554</v>
      </c>
      <c r="B35" s="320" t="s">
        <v>555</v>
      </c>
      <c r="C35" s="321">
        <f>C36</f>
        <v>7934</v>
      </c>
      <c r="D35" s="321">
        <f>D36</f>
        <v>8617.1</v>
      </c>
    </row>
    <row r="36" spans="1:4" s="308" customFormat="1" ht="31.5">
      <c r="A36" s="319" t="s">
        <v>556</v>
      </c>
      <c r="B36" s="320" t="s">
        <v>557</v>
      </c>
      <c r="C36" s="329">
        <v>7934</v>
      </c>
      <c r="D36" s="329">
        <v>8617.1</v>
      </c>
    </row>
    <row r="37" spans="1:4" s="308" customFormat="1" ht="12.75">
      <c r="A37" s="316" t="s">
        <v>558</v>
      </c>
      <c r="B37" s="317" t="s">
        <v>559</v>
      </c>
      <c r="C37" s="318">
        <f aca="true" t="shared" si="0" ref="C37:D38">C38</f>
        <v>5498</v>
      </c>
      <c r="D37" s="318">
        <f t="shared" si="0"/>
        <v>6666.7</v>
      </c>
    </row>
    <row r="38" spans="1:4" s="308" customFormat="1" ht="31.5">
      <c r="A38" s="316" t="s">
        <v>560</v>
      </c>
      <c r="B38" s="317" t="s">
        <v>561</v>
      </c>
      <c r="C38" s="318">
        <f t="shared" si="0"/>
        <v>5498</v>
      </c>
      <c r="D38" s="318">
        <f t="shared" si="0"/>
        <v>6666.7</v>
      </c>
    </row>
    <row r="39" spans="1:4" s="308" customFormat="1" ht="47.25">
      <c r="A39" s="319" t="s">
        <v>562</v>
      </c>
      <c r="B39" s="320" t="s">
        <v>563</v>
      </c>
      <c r="C39" s="329">
        <v>5498</v>
      </c>
      <c r="D39" s="329">
        <v>6666.7</v>
      </c>
    </row>
    <row r="40" spans="1:4" s="308" customFormat="1" ht="47.25">
      <c r="A40" s="316" t="s">
        <v>564</v>
      </c>
      <c r="B40" s="317" t="s">
        <v>565</v>
      </c>
      <c r="C40" s="318">
        <f>C41+C48+C51</f>
        <v>30517.199999999997</v>
      </c>
      <c r="D40" s="318">
        <f>D41+D48+D51</f>
        <v>30270</v>
      </c>
    </row>
    <row r="41" spans="1:4" s="308" customFormat="1" ht="94.5">
      <c r="A41" s="316" t="s">
        <v>566</v>
      </c>
      <c r="B41" s="317" t="s">
        <v>567</v>
      </c>
      <c r="C41" s="318">
        <f>C42+C44+C46</f>
        <v>28568.6</v>
      </c>
      <c r="D41" s="318">
        <f>D42+D44+D46</f>
        <v>28205.300000000003</v>
      </c>
    </row>
    <row r="42" spans="1:4" s="308" customFormat="1" ht="63">
      <c r="A42" s="319" t="s">
        <v>568</v>
      </c>
      <c r="B42" s="320" t="s">
        <v>569</v>
      </c>
      <c r="C42" s="321">
        <f>C43</f>
        <v>12543</v>
      </c>
      <c r="D42" s="321">
        <f>D43</f>
        <v>16159.2</v>
      </c>
    </row>
    <row r="43" spans="1:4" s="308" customFormat="1" ht="78.75">
      <c r="A43" s="319" t="s">
        <v>570</v>
      </c>
      <c r="B43" s="320" t="s">
        <v>571</v>
      </c>
      <c r="C43" s="321">
        <v>12543</v>
      </c>
      <c r="D43" s="321">
        <v>16159.2</v>
      </c>
    </row>
    <row r="44" spans="1:4" s="308" customFormat="1" ht="78.75">
      <c r="A44" s="319" t="s">
        <v>572</v>
      </c>
      <c r="B44" s="320" t="s">
        <v>573</v>
      </c>
      <c r="C44" s="329">
        <f>C45</f>
        <v>1512.2</v>
      </c>
      <c r="D44" s="329">
        <f>D45</f>
        <v>1519.4</v>
      </c>
    </row>
    <row r="45" spans="1:4" s="308" customFormat="1" ht="78.75">
      <c r="A45" s="319" t="s">
        <v>574</v>
      </c>
      <c r="B45" s="320" t="s">
        <v>575</v>
      </c>
      <c r="C45" s="329">
        <v>1512.2</v>
      </c>
      <c r="D45" s="329">
        <v>1519.4</v>
      </c>
    </row>
    <row r="46" spans="1:4" s="308" customFormat="1" ht="47.25">
      <c r="A46" s="319" t="s">
        <v>576</v>
      </c>
      <c r="B46" s="320" t="s">
        <v>577</v>
      </c>
      <c r="C46" s="321">
        <f>C47</f>
        <v>14513.4</v>
      </c>
      <c r="D46" s="321">
        <f>D47</f>
        <v>10526.7</v>
      </c>
    </row>
    <row r="47" spans="1:4" s="308" customFormat="1" ht="31.5">
      <c r="A47" s="319" t="s">
        <v>578</v>
      </c>
      <c r="B47" s="320" t="s">
        <v>579</v>
      </c>
      <c r="C47" s="321">
        <v>14513.4</v>
      </c>
      <c r="D47" s="321">
        <v>10526.7</v>
      </c>
    </row>
    <row r="48" spans="1:4" s="308" customFormat="1" ht="31.5">
      <c r="A48" s="316" t="s">
        <v>580</v>
      </c>
      <c r="B48" s="317" t="s">
        <v>581</v>
      </c>
      <c r="C48" s="318">
        <f aca="true" t="shared" si="1" ref="C48:D49">C49</f>
        <v>25</v>
      </c>
      <c r="D48" s="318">
        <f t="shared" si="1"/>
        <v>26.1</v>
      </c>
    </row>
    <row r="49" spans="1:4" s="308" customFormat="1" ht="47.25">
      <c r="A49" s="319" t="s">
        <v>582</v>
      </c>
      <c r="B49" s="320" t="s">
        <v>583</v>
      </c>
      <c r="C49" s="321">
        <f t="shared" si="1"/>
        <v>25</v>
      </c>
      <c r="D49" s="321">
        <f t="shared" si="1"/>
        <v>26.1</v>
      </c>
    </row>
    <row r="50" spans="1:4" s="308" customFormat="1" ht="47.25">
      <c r="A50" s="319" t="s">
        <v>584</v>
      </c>
      <c r="B50" s="320" t="s">
        <v>585</v>
      </c>
      <c r="C50" s="321">
        <v>25</v>
      </c>
      <c r="D50" s="321">
        <v>26.1</v>
      </c>
    </row>
    <row r="51" spans="1:4" s="308" customFormat="1" ht="94.5">
      <c r="A51" s="316" t="s">
        <v>586</v>
      </c>
      <c r="B51" s="317" t="s">
        <v>587</v>
      </c>
      <c r="C51" s="318">
        <f aca="true" t="shared" si="2" ref="C51:D52">C52</f>
        <v>1923.6</v>
      </c>
      <c r="D51" s="318">
        <f t="shared" si="2"/>
        <v>2038.6</v>
      </c>
    </row>
    <row r="52" spans="1:4" s="308" customFormat="1" ht="78.75">
      <c r="A52" s="319" t="s">
        <v>588</v>
      </c>
      <c r="B52" s="320" t="s">
        <v>589</v>
      </c>
      <c r="C52" s="321">
        <f t="shared" si="2"/>
        <v>1923.6</v>
      </c>
      <c r="D52" s="321">
        <f t="shared" si="2"/>
        <v>2038.6</v>
      </c>
    </row>
    <row r="53" spans="1:4" s="308" customFormat="1" ht="78.75">
      <c r="A53" s="319" t="s">
        <v>590</v>
      </c>
      <c r="B53" s="320" t="s">
        <v>591</v>
      </c>
      <c r="C53" s="321">
        <v>1923.6</v>
      </c>
      <c r="D53" s="321">
        <v>2038.6</v>
      </c>
    </row>
    <row r="54" spans="1:4" s="308" customFormat="1" ht="31.5">
      <c r="A54" s="316" t="s">
        <v>592</v>
      </c>
      <c r="B54" s="317" t="s">
        <v>593</v>
      </c>
      <c r="C54" s="318">
        <f>C55</f>
        <v>796.3</v>
      </c>
      <c r="D54" s="318">
        <f>D55</f>
        <v>1043.8</v>
      </c>
    </row>
    <row r="55" spans="1:4" s="308" customFormat="1" ht="12.75">
      <c r="A55" s="316" t="s">
        <v>594</v>
      </c>
      <c r="B55" s="317" t="s">
        <v>595</v>
      </c>
      <c r="C55" s="318">
        <f>SUM(C56:C58)</f>
        <v>796.3</v>
      </c>
      <c r="D55" s="318">
        <f>SUM(D56:D58)</f>
        <v>1043.8</v>
      </c>
    </row>
    <row r="56" spans="1:4" s="308" customFormat="1" ht="31.5">
      <c r="A56" s="330" t="s">
        <v>596</v>
      </c>
      <c r="B56" s="331" t="s">
        <v>597</v>
      </c>
      <c r="C56" s="321">
        <v>555</v>
      </c>
      <c r="D56" s="321">
        <v>239.5</v>
      </c>
    </row>
    <row r="57" spans="1:4" s="308" customFormat="1" ht="12.75">
      <c r="A57" s="330" t="s">
        <v>598</v>
      </c>
      <c r="B57" s="332" t="s">
        <v>599</v>
      </c>
      <c r="C57" s="321">
        <v>240.4</v>
      </c>
      <c r="D57" s="321">
        <v>61.9</v>
      </c>
    </row>
    <row r="58" spans="1:4" s="308" customFormat="1" ht="12.75">
      <c r="A58" s="330" t="s">
        <v>600</v>
      </c>
      <c r="B58" s="332" t="s">
        <v>601</v>
      </c>
      <c r="C58" s="321">
        <f>C59+C60</f>
        <v>0.9</v>
      </c>
      <c r="D58" s="321">
        <f>D59+D60</f>
        <v>742.4</v>
      </c>
    </row>
    <row r="59" spans="1:4" s="308" customFormat="1" ht="12.75">
      <c r="A59" s="330" t="s">
        <v>602</v>
      </c>
      <c r="B59" s="332" t="s">
        <v>603</v>
      </c>
      <c r="C59" s="321">
        <v>0.8</v>
      </c>
      <c r="D59" s="321">
        <v>742.3</v>
      </c>
    </row>
    <row r="60" spans="1:4" s="308" customFormat="1" ht="12.75">
      <c r="A60" s="330" t="s">
        <v>604</v>
      </c>
      <c r="B60" s="332" t="s">
        <v>605</v>
      </c>
      <c r="C60" s="321">
        <v>0.1</v>
      </c>
      <c r="D60" s="321">
        <v>0.1</v>
      </c>
    </row>
    <row r="61" spans="1:4" s="308" customFormat="1" ht="31.5">
      <c r="A61" s="333" t="s">
        <v>606</v>
      </c>
      <c r="B61" s="334" t="s">
        <v>607</v>
      </c>
      <c r="C61" s="318">
        <f>C62</f>
        <v>926.7</v>
      </c>
      <c r="D61" s="318">
        <f aca="true" t="shared" si="3" ref="D61:D63">D62</f>
        <v>965.2</v>
      </c>
    </row>
    <row r="62" spans="1:4" s="308" customFormat="1" ht="12.75">
      <c r="A62" s="335" t="s">
        <v>608</v>
      </c>
      <c r="B62" s="334" t="s">
        <v>609</v>
      </c>
      <c r="C62" s="318">
        <f>C63</f>
        <v>926.7</v>
      </c>
      <c r="D62" s="318">
        <f t="shared" si="3"/>
        <v>965.2</v>
      </c>
    </row>
    <row r="63" spans="1:4" s="308" customFormat="1" ht="12.75">
      <c r="A63" s="330" t="s">
        <v>610</v>
      </c>
      <c r="B63" s="332" t="s">
        <v>611</v>
      </c>
      <c r="C63" s="321">
        <f>C64</f>
        <v>926.7</v>
      </c>
      <c r="D63" s="321">
        <f t="shared" si="3"/>
        <v>965.2</v>
      </c>
    </row>
    <row r="64" spans="1:4" s="308" customFormat="1" ht="31.5">
      <c r="A64" s="330" t="s">
        <v>612</v>
      </c>
      <c r="B64" s="332" t="s">
        <v>613</v>
      </c>
      <c r="C64" s="321">
        <v>926.7</v>
      </c>
      <c r="D64" s="321">
        <v>965.2</v>
      </c>
    </row>
    <row r="65" spans="1:4" s="308" customFormat="1" ht="31.5">
      <c r="A65" s="316" t="s">
        <v>614</v>
      </c>
      <c r="B65" s="317" t="s">
        <v>615</v>
      </c>
      <c r="C65" s="318">
        <f>C66+C69</f>
        <v>8293.199999999999</v>
      </c>
      <c r="D65" s="318">
        <f>D66+D69</f>
        <v>13187.5</v>
      </c>
    </row>
    <row r="66" spans="1:4" s="308" customFormat="1" ht="31.5">
      <c r="A66" s="316" t="s">
        <v>616</v>
      </c>
      <c r="B66" s="317" t="s">
        <v>617</v>
      </c>
      <c r="C66" s="318">
        <f aca="true" t="shared" si="4" ref="C66:D67">C67</f>
        <v>1712.8</v>
      </c>
      <c r="D66" s="318">
        <f t="shared" si="4"/>
        <v>2590.2</v>
      </c>
    </row>
    <row r="67" spans="1:4" s="308" customFormat="1" ht="31.5">
      <c r="A67" s="319" t="s">
        <v>618</v>
      </c>
      <c r="B67" s="320" t="s">
        <v>619</v>
      </c>
      <c r="C67" s="321">
        <f t="shared" si="4"/>
        <v>1712.8</v>
      </c>
      <c r="D67" s="321">
        <f t="shared" si="4"/>
        <v>2590.2</v>
      </c>
    </row>
    <row r="68" spans="1:4" s="308" customFormat="1" ht="47.25">
      <c r="A68" s="319" t="s">
        <v>620</v>
      </c>
      <c r="B68" s="320" t="s">
        <v>621</v>
      </c>
      <c r="C68" s="321">
        <v>1712.8</v>
      </c>
      <c r="D68" s="321">
        <v>2590.2</v>
      </c>
    </row>
    <row r="69" spans="1:4" s="308" customFormat="1" ht="31.5">
      <c r="A69" s="316" t="s">
        <v>622</v>
      </c>
      <c r="B69" s="336" t="s">
        <v>623</v>
      </c>
      <c r="C69" s="318">
        <f>C70</f>
        <v>6580.4</v>
      </c>
      <c r="D69" s="318">
        <f>D70</f>
        <v>10597.3</v>
      </c>
    </row>
    <row r="70" spans="1:4" s="308" customFormat="1" ht="47.25">
      <c r="A70" s="319" t="s">
        <v>624</v>
      </c>
      <c r="B70" s="322" t="s">
        <v>625</v>
      </c>
      <c r="C70" s="321">
        <v>6580.4</v>
      </c>
      <c r="D70" s="321">
        <v>10597.3</v>
      </c>
    </row>
    <row r="71" spans="1:4" s="308" customFormat="1" ht="12.75">
      <c r="A71" s="316" t="s">
        <v>626</v>
      </c>
      <c r="B71" s="336" t="s">
        <v>627</v>
      </c>
      <c r="C71" s="318">
        <f>C72+C98+C106+C103+C100</f>
        <v>4102.7</v>
      </c>
      <c r="D71" s="318">
        <f aca="true" t="shared" si="5" ref="D71">D72+D98+D106+D103+D100</f>
        <v>7786.299999999999</v>
      </c>
    </row>
    <row r="72" spans="1:4" s="308" customFormat="1" ht="47.25">
      <c r="A72" s="316" t="s">
        <v>628</v>
      </c>
      <c r="B72" s="336" t="s">
        <v>629</v>
      </c>
      <c r="C72" s="318">
        <f>C88+C90+C96+C73+C75+C77+C80+C92+C94+C82+C84+C86</f>
        <v>697.5999999999999</v>
      </c>
      <c r="D72" s="318">
        <f aca="true" t="shared" si="6" ref="D72">D88+D90+D96+D73+D75+D77+D80+D92+D94+D82+D84+D86</f>
        <v>796.5</v>
      </c>
    </row>
    <row r="73" spans="1:4" s="308" customFormat="1" ht="51.75" customHeight="1">
      <c r="A73" s="337" t="s">
        <v>630</v>
      </c>
      <c r="B73" s="322" t="s">
        <v>631</v>
      </c>
      <c r="C73" s="321">
        <f>C74</f>
        <v>49.8</v>
      </c>
      <c r="D73" s="321">
        <f>D74</f>
        <v>42.8</v>
      </c>
    </row>
    <row r="74" spans="1:4" s="308" customFormat="1" ht="78.75">
      <c r="A74" s="319" t="s">
        <v>632</v>
      </c>
      <c r="B74" s="322" t="s">
        <v>633</v>
      </c>
      <c r="C74" s="321">
        <f>19.8+30</f>
        <v>49.8</v>
      </c>
      <c r="D74" s="321">
        <f>2.8+40</f>
        <v>42.8</v>
      </c>
    </row>
    <row r="75" spans="1:4" s="308" customFormat="1" ht="78.75">
      <c r="A75" s="319" t="s">
        <v>634</v>
      </c>
      <c r="B75" s="322" t="s">
        <v>635</v>
      </c>
      <c r="C75" s="321">
        <f>C76</f>
        <v>13.5</v>
      </c>
      <c r="D75" s="321">
        <f>D76</f>
        <v>8.2</v>
      </c>
    </row>
    <row r="76" spans="1:4" s="308" customFormat="1" ht="94.5">
      <c r="A76" s="319" t="s">
        <v>636</v>
      </c>
      <c r="B76" s="322" t="s">
        <v>637</v>
      </c>
      <c r="C76" s="321">
        <f>9.5+4</f>
        <v>13.5</v>
      </c>
      <c r="D76" s="321">
        <f>2.2+6</f>
        <v>8.2</v>
      </c>
    </row>
    <row r="77" spans="1:4" s="308" customFormat="1" ht="63">
      <c r="A77" s="319" t="s">
        <v>638</v>
      </c>
      <c r="B77" s="322" t="s">
        <v>639</v>
      </c>
      <c r="C77" s="321">
        <f>C78+C79</f>
        <v>19.9</v>
      </c>
      <c r="D77" s="321">
        <f aca="true" t="shared" si="7" ref="D77">D78+D79</f>
        <v>49.3</v>
      </c>
    </row>
    <row r="78" spans="1:4" s="308" customFormat="1" ht="78.75">
      <c r="A78" s="319" t="s">
        <v>640</v>
      </c>
      <c r="B78" s="322" t="s">
        <v>641</v>
      </c>
      <c r="C78" s="321">
        <f>4+0.9</f>
        <v>4.9</v>
      </c>
      <c r="D78" s="321">
        <f>2+22.3</f>
        <v>24.3</v>
      </c>
    </row>
    <row r="79" spans="1:4" s="308" customFormat="1" ht="78.75">
      <c r="A79" s="319" t="s">
        <v>642</v>
      </c>
      <c r="B79" s="322" t="s">
        <v>643</v>
      </c>
      <c r="C79" s="321">
        <v>15</v>
      </c>
      <c r="D79" s="321">
        <v>25</v>
      </c>
    </row>
    <row r="80" spans="1:4" s="308" customFormat="1" ht="63">
      <c r="A80" s="319" t="s">
        <v>644</v>
      </c>
      <c r="B80" s="322" t="s">
        <v>645</v>
      </c>
      <c r="C80" s="321">
        <f>C81</f>
        <v>1</v>
      </c>
      <c r="D80" s="321">
        <f>D81</f>
        <v>75.2</v>
      </c>
    </row>
    <row r="81" spans="1:4" s="308" customFormat="1" ht="94.5">
      <c r="A81" s="319" t="s">
        <v>646</v>
      </c>
      <c r="B81" s="322" t="s">
        <v>647</v>
      </c>
      <c r="C81" s="321">
        <v>1</v>
      </c>
      <c r="D81" s="321">
        <v>75.2</v>
      </c>
    </row>
    <row r="82" spans="1:4" s="308" customFormat="1" ht="63">
      <c r="A82" s="319" t="s">
        <v>648</v>
      </c>
      <c r="B82" s="322" t="s">
        <v>649</v>
      </c>
      <c r="C82" s="321">
        <f>C83</f>
        <v>0.5</v>
      </c>
      <c r="D82" s="321">
        <f aca="true" t="shared" si="8" ref="D82">D83</f>
        <v>0.5</v>
      </c>
    </row>
    <row r="83" spans="1:4" s="308" customFormat="1" ht="78.75">
      <c r="A83" s="319" t="s">
        <v>650</v>
      </c>
      <c r="B83" s="322" t="s">
        <v>651</v>
      </c>
      <c r="C83" s="321">
        <v>0.5</v>
      </c>
      <c r="D83" s="321">
        <v>0.5</v>
      </c>
    </row>
    <row r="84" spans="1:4" s="308" customFormat="1" ht="63">
      <c r="A84" s="319" t="s">
        <v>652</v>
      </c>
      <c r="B84" s="322" t="s">
        <v>653</v>
      </c>
      <c r="C84" s="321">
        <f>C85</f>
        <v>1.5</v>
      </c>
      <c r="D84" s="321">
        <f aca="true" t="shared" si="9" ref="D84">D85</f>
        <v>1.5</v>
      </c>
    </row>
    <row r="85" spans="1:4" s="308" customFormat="1" ht="94.5">
      <c r="A85" s="319" t="s">
        <v>654</v>
      </c>
      <c r="B85" s="322" t="s">
        <v>655</v>
      </c>
      <c r="C85" s="321">
        <v>1.5</v>
      </c>
      <c r="D85" s="321">
        <v>1.5</v>
      </c>
    </row>
    <row r="86" spans="1:4" s="308" customFormat="1" ht="63">
      <c r="A86" s="319" t="s">
        <v>656</v>
      </c>
      <c r="B86" s="322" t="s">
        <v>657</v>
      </c>
      <c r="C86" s="321">
        <f>C87</f>
        <v>4.3</v>
      </c>
      <c r="D86" s="321">
        <f aca="true" t="shared" si="10" ref="D86">D87</f>
        <v>4.3</v>
      </c>
    </row>
    <row r="87" spans="1:4" s="308" customFormat="1" ht="78.75">
      <c r="A87" s="319" t="s">
        <v>658</v>
      </c>
      <c r="B87" s="322" t="s">
        <v>659</v>
      </c>
      <c r="C87" s="321">
        <v>4.3</v>
      </c>
      <c r="D87" s="321">
        <v>4.3</v>
      </c>
    </row>
    <row r="88" spans="1:4" s="308" customFormat="1" ht="78.75">
      <c r="A88" s="319" t="s">
        <v>660</v>
      </c>
      <c r="B88" s="322" t="s">
        <v>661</v>
      </c>
      <c r="C88" s="321">
        <f>C89</f>
        <v>72.5</v>
      </c>
      <c r="D88" s="321">
        <f>D89</f>
        <v>57.7</v>
      </c>
    </row>
    <row r="89" spans="1:4" s="308" customFormat="1" ht="94.5">
      <c r="A89" s="319" t="s">
        <v>662</v>
      </c>
      <c r="B89" s="322" t="s">
        <v>663</v>
      </c>
      <c r="C89" s="321">
        <v>72.5</v>
      </c>
      <c r="D89" s="321">
        <v>57.7</v>
      </c>
    </row>
    <row r="90" spans="1:4" s="308" customFormat="1" ht="63">
      <c r="A90" s="337" t="s">
        <v>664</v>
      </c>
      <c r="B90" s="322" t="s">
        <v>665</v>
      </c>
      <c r="C90" s="321">
        <f>C91</f>
        <v>33.2</v>
      </c>
      <c r="D90" s="321">
        <f>D91</f>
        <v>20.5</v>
      </c>
    </row>
    <row r="91" spans="1:4" s="308" customFormat="1" ht="116.25" customHeight="1">
      <c r="A91" s="319" t="s">
        <v>666</v>
      </c>
      <c r="B91" s="322" t="s">
        <v>667</v>
      </c>
      <c r="C91" s="321">
        <v>33.2</v>
      </c>
      <c r="D91" s="321">
        <v>20.5</v>
      </c>
    </row>
    <row r="92" spans="1:4" s="308" customFormat="1" ht="63">
      <c r="A92" s="319" t="s">
        <v>668</v>
      </c>
      <c r="B92" s="322" t="s">
        <v>669</v>
      </c>
      <c r="C92" s="321">
        <f>C93</f>
        <v>8.1</v>
      </c>
      <c r="D92" s="321">
        <f>D93</f>
        <v>14.9</v>
      </c>
    </row>
    <row r="93" spans="1:4" s="308" customFormat="1" ht="94.5">
      <c r="A93" s="319" t="s">
        <v>670</v>
      </c>
      <c r="B93" s="322" t="s">
        <v>671</v>
      </c>
      <c r="C93" s="321">
        <v>8.1</v>
      </c>
      <c r="D93" s="321">
        <v>14.9</v>
      </c>
    </row>
    <row r="94" spans="1:4" s="308" customFormat="1" ht="63">
      <c r="A94" s="319" t="s">
        <v>672</v>
      </c>
      <c r="B94" s="322" t="s">
        <v>673</v>
      </c>
      <c r="C94" s="321">
        <f>C95</f>
        <v>275.7</v>
      </c>
      <c r="D94" s="321">
        <f>D95</f>
        <v>320</v>
      </c>
    </row>
    <row r="95" spans="1:4" s="308" customFormat="1" ht="78.75">
      <c r="A95" s="319" t="s">
        <v>674</v>
      </c>
      <c r="B95" s="322" t="s">
        <v>675</v>
      </c>
      <c r="C95" s="321">
        <v>275.7</v>
      </c>
      <c r="D95" s="321">
        <v>320</v>
      </c>
    </row>
    <row r="96" spans="1:4" s="308" customFormat="1" ht="63">
      <c r="A96" s="319" t="s">
        <v>676</v>
      </c>
      <c r="B96" s="322" t="s">
        <v>677</v>
      </c>
      <c r="C96" s="321">
        <f>C97</f>
        <v>217.6</v>
      </c>
      <c r="D96" s="321">
        <f>D97</f>
        <v>201.6</v>
      </c>
    </row>
    <row r="97" spans="1:4" s="308" customFormat="1" ht="94.5">
      <c r="A97" s="319" t="s">
        <v>678</v>
      </c>
      <c r="B97" s="322" t="s">
        <v>679</v>
      </c>
      <c r="C97" s="321">
        <f>21+196.6</f>
        <v>217.6</v>
      </c>
      <c r="D97" s="321">
        <f>11.1+190.5</f>
        <v>201.6</v>
      </c>
    </row>
    <row r="98" spans="1:4" s="308" customFormat="1" ht="47.25">
      <c r="A98" s="316" t="s">
        <v>680</v>
      </c>
      <c r="B98" s="336" t="s">
        <v>681</v>
      </c>
      <c r="C98" s="318">
        <f>C99</f>
        <v>41</v>
      </c>
      <c r="D98" s="318">
        <f>D99</f>
        <v>120.5</v>
      </c>
    </row>
    <row r="99" spans="1:4" s="308" customFormat="1" ht="47.25">
      <c r="A99" s="319" t="s">
        <v>682</v>
      </c>
      <c r="B99" s="322" t="s">
        <v>683</v>
      </c>
      <c r="C99" s="321">
        <v>41</v>
      </c>
      <c r="D99" s="321">
        <v>120.5</v>
      </c>
    </row>
    <row r="100" spans="1:4" s="308" customFormat="1" ht="126">
      <c r="A100" s="316" t="s">
        <v>684</v>
      </c>
      <c r="B100" s="336" t="s">
        <v>685</v>
      </c>
      <c r="C100" s="318">
        <f>C101</f>
        <v>561.7</v>
      </c>
      <c r="D100" s="318">
        <f aca="true" t="shared" si="11" ref="D100:D101">D101</f>
        <v>1891.4</v>
      </c>
    </row>
    <row r="101" spans="1:4" s="308" customFormat="1" ht="94.5">
      <c r="A101" s="319" t="s">
        <v>686</v>
      </c>
      <c r="B101" s="322" t="s">
        <v>687</v>
      </c>
      <c r="C101" s="321">
        <f>C102</f>
        <v>561.7</v>
      </c>
      <c r="D101" s="321">
        <f t="shared" si="11"/>
        <v>1891.4</v>
      </c>
    </row>
    <row r="102" spans="1:4" s="308" customFormat="1" ht="78.75">
      <c r="A102" s="319" t="s">
        <v>688</v>
      </c>
      <c r="B102" s="322" t="s">
        <v>689</v>
      </c>
      <c r="C102" s="321">
        <v>561.7</v>
      </c>
      <c r="D102" s="321">
        <f>1781+110.4</f>
        <v>1891.4</v>
      </c>
    </row>
    <row r="103" spans="1:4" s="308" customFormat="1" ht="78.75">
      <c r="A103" s="316" t="s">
        <v>690</v>
      </c>
      <c r="B103" s="336" t="s">
        <v>691</v>
      </c>
      <c r="C103" s="318">
        <f>C104+C105</f>
        <v>2079.2</v>
      </c>
      <c r="D103" s="318">
        <f>D104+D105</f>
        <v>3964.3</v>
      </c>
    </row>
    <row r="104" spans="1:4" s="308" customFormat="1" ht="63">
      <c r="A104" s="319" t="s">
        <v>692</v>
      </c>
      <c r="B104" s="322" t="s">
        <v>693</v>
      </c>
      <c r="C104" s="321">
        <f>44.4+15+20+70+1703.8</f>
        <v>1853.2</v>
      </c>
      <c r="D104" s="321">
        <f>26.2+755.5+65.6+1200+849.5-20+959.9+5</f>
        <v>3841.7000000000003</v>
      </c>
    </row>
    <row r="105" spans="1:4" s="308" customFormat="1" ht="78.75">
      <c r="A105" s="319" t="s">
        <v>694</v>
      </c>
      <c r="B105" s="322" t="s">
        <v>695</v>
      </c>
      <c r="C105" s="321">
        <f>65+12+149</f>
        <v>226</v>
      </c>
      <c r="D105" s="321">
        <v>122.6</v>
      </c>
    </row>
    <row r="106" spans="1:4" s="308" customFormat="1" ht="12.75">
      <c r="A106" s="316" t="s">
        <v>696</v>
      </c>
      <c r="B106" s="336" t="s">
        <v>697</v>
      </c>
      <c r="C106" s="318">
        <f aca="true" t="shared" si="12" ref="C106:D107">C107</f>
        <v>723.2</v>
      </c>
      <c r="D106" s="318">
        <f t="shared" si="12"/>
        <v>1013.6</v>
      </c>
    </row>
    <row r="107" spans="1:4" s="308" customFormat="1" ht="31.5">
      <c r="A107" s="319" t="s">
        <v>698</v>
      </c>
      <c r="B107" s="322" t="s">
        <v>699</v>
      </c>
      <c r="C107" s="321">
        <f t="shared" si="12"/>
        <v>723.2</v>
      </c>
      <c r="D107" s="321">
        <f t="shared" si="12"/>
        <v>1013.6</v>
      </c>
    </row>
    <row r="108" spans="1:4" s="308" customFormat="1" ht="63">
      <c r="A108" s="319" t="s">
        <v>700</v>
      </c>
      <c r="B108" s="322" t="s">
        <v>701</v>
      </c>
      <c r="C108" s="321">
        <v>723.2</v>
      </c>
      <c r="D108" s="321">
        <v>1013.6</v>
      </c>
    </row>
    <row r="109" spans="1:4" s="308" customFormat="1" ht="12.75">
      <c r="A109" s="316" t="s">
        <v>702</v>
      </c>
      <c r="B109" s="336" t="s">
        <v>703</v>
      </c>
      <c r="C109" s="318">
        <f aca="true" t="shared" si="13" ref="C109:D110">C110</f>
        <v>675.5</v>
      </c>
      <c r="D109" s="318">
        <f t="shared" si="13"/>
        <v>584.3</v>
      </c>
    </row>
    <row r="110" spans="1:4" s="308" customFormat="1" ht="12.75">
      <c r="A110" s="316" t="s">
        <v>704</v>
      </c>
      <c r="B110" s="336" t="s">
        <v>705</v>
      </c>
      <c r="C110" s="318">
        <f t="shared" si="13"/>
        <v>675.5</v>
      </c>
      <c r="D110" s="318">
        <f t="shared" si="13"/>
        <v>584.3</v>
      </c>
    </row>
    <row r="111" spans="1:4" s="308" customFormat="1" ht="12.75">
      <c r="A111" s="319" t="s">
        <v>706</v>
      </c>
      <c r="B111" s="322" t="s">
        <v>707</v>
      </c>
      <c r="C111" s="321">
        <v>675.5</v>
      </c>
      <c r="D111" s="321">
        <v>584.3</v>
      </c>
    </row>
    <row r="112" spans="1:4" s="308" customFormat="1" ht="12.75">
      <c r="A112" s="316" t="s">
        <v>708</v>
      </c>
      <c r="B112" s="317" t="s">
        <v>709</v>
      </c>
      <c r="C112" s="318">
        <f>C113+C166</f>
        <v>543208.8000000002</v>
      </c>
      <c r="D112" s="318">
        <f>D113+D166</f>
        <v>542700.3</v>
      </c>
    </row>
    <row r="113" spans="1:4" s="308" customFormat="1" ht="47.25">
      <c r="A113" s="338" t="s">
        <v>710</v>
      </c>
      <c r="B113" s="339" t="s">
        <v>711</v>
      </c>
      <c r="C113" s="318">
        <f>C143+C117+C160+C114</f>
        <v>543833.5000000001</v>
      </c>
      <c r="D113" s="318">
        <f>D143+D117+D160+D114</f>
        <v>543353.7000000001</v>
      </c>
    </row>
    <row r="114" spans="1:4" s="308" customFormat="1" ht="31.5">
      <c r="A114" s="340" t="s">
        <v>712</v>
      </c>
      <c r="B114" s="341" t="s">
        <v>713</v>
      </c>
      <c r="C114" s="342">
        <f>C115</f>
        <v>0</v>
      </c>
      <c r="D114" s="342">
        <f>D115</f>
        <v>7045.3</v>
      </c>
    </row>
    <row r="115" spans="1:4" s="308" customFormat="1" ht="31.5">
      <c r="A115" s="343" t="s">
        <v>714</v>
      </c>
      <c r="B115" s="344" t="s">
        <v>715</v>
      </c>
      <c r="C115" s="345">
        <f>C116</f>
        <v>0</v>
      </c>
      <c r="D115" s="345">
        <f>D116</f>
        <v>7045.3</v>
      </c>
    </row>
    <row r="116" spans="1:4" s="308" customFormat="1" ht="31.5">
      <c r="A116" s="343" t="s">
        <v>716</v>
      </c>
      <c r="B116" s="344" t="s">
        <v>717</v>
      </c>
      <c r="C116" s="345">
        <v>0</v>
      </c>
      <c r="D116" s="321">
        <v>7045.3</v>
      </c>
    </row>
    <row r="117" spans="1:4" s="308" customFormat="1" ht="31.5">
      <c r="A117" s="346" t="s">
        <v>718</v>
      </c>
      <c r="B117" s="347" t="s">
        <v>719</v>
      </c>
      <c r="C117" s="318">
        <f>C133+C121+C129+C118+C125+C131+C127</f>
        <v>206819.80000000002</v>
      </c>
      <c r="D117" s="318">
        <f>D133+D121+D129+D118+D125+D131+D127</f>
        <v>201450.5</v>
      </c>
    </row>
    <row r="118" spans="1:4" s="308" customFormat="1" ht="31.5">
      <c r="A118" s="348" t="s">
        <v>720</v>
      </c>
      <c r="B118" s="349" t="s">
        <v>721</v>
      </c>
      <c r="C118" s="321">
        <f aca="true" t="shared" si="14" ref="C118:D119">C119</f>
        <v>28180.5</v>
      </c>
      <c r="D118" s="321">
        <f t="shared" si="14"/>
        <v>28180.5</v>
      </c>
    </row>
    <row r="119" spans="1:4" s="308" customFormat="1" ht="47.25">
      <c r="A119" s="348" t="s">
        <v>722</v>
      </c>
      <c r="B119" s="349" t="s">
        <v>723</v>
      </c>
      <c r="C119" s="321">
        <f t="shared" si="14"/>
        <v>28180.5</v>
      </c>
      <c r="D119" s="321">
        <f t="shared" si="14"/>
        <v>28180.5</v>
      </c>
    </row>
    <row r="120" spans="1:4" s="308" customFormat="1" ht="31.5">
      <c r="A120" s="348" t="s">
        <v>722</v>
      </c>
      <c r="B120" s="349" t="s">
        <v>724</v>
      </c>
      <c r="C120" s="321">
        <v>28180.5</v>
      </c>
      <c r="D120" s="321">
        <v>28180.5</v>
      </c>
    </row>
    <row r="121" spans="1:4" s="308" customFormat="1" ht="78.75">
      <c r="A121" s="350" t="s">
        <v>725</v>
      </c>
      <c r="B121" s="351" t="s">
        <v>726</v>
      </c>
      <c r="C121" s="321">
        <f>C122+C123+C124</f>
        <v>44324.700000000004</v>
      </c>
      <c r="D121" s="321">
        <f>D122+D123+D124</f>
        <v>44203.1</v>
      </c>
    </row>
    <row r="122" spans="1:4" s="308" customFormat="1" ht="31.5">
      <c r="A122" s="350" t="s">
        <v>727</v>
      </c>
      <c r="B122" s="352" t="s">
        <v>728</v>
      </c>
      <c r="C122" s="321">
        <f>35892+614.8</f>
        <v>36506.8</v>
      </c>
      <c r="D122" s="321">
        <v>36506.8</v>
      </c>
    </row>
    <row r="123" spans="1:4" s="308" customFormat="1" ht="47.25">
      <c r="A123" s="350" t="s">
        <v>727</v>
      </c>
      <c r="B123" s="352" t="s">
        <v>729</v>
      </c>
      <c r="C123" s="321">
        <v>5149.6</v>
      </c>
      <c r="D123" s="321">
        <v>5149.6</v>
      </c>
    </row>
    <row r="124" spans="1:4" s="308" customFormat="1" ht="47.25">
      <c r="A124" s="350" t="s">
        <v>727</v>
      </c>
      <c r="B124" s="352" t="s">
        <v>730</v>
      </c>
      <c r="C124" s="321">
        <v>2668.3</v>
      </c>
      <c r="D124" s="321">
        <v>2546.7</v>
      </c>
    </row>
    <row r="125" spans="1:4" s="308" customFormat="1" ht="63">
      <c r="A125" s="350" t="s">
        <v>731</v>
      </c>
      <c r="B125" s="352" t="s">
        <v>732</v>
      </c>
      <c r="C125" s="321">
        <f>C126</f>
        <v>67796.7</v>
      </c>
      <c r="D125" s="321">
        <f>D126</f>
        <v>67796.7</v>
      </c>
    </row>
    <row r="126" spans="1:4" s="308" customFormat="1" ht="78.75">
      <c r="A126" s="350" t="s">
        <v>733</v>
      </c>
      <c r="B126" s="352" t="s">
        <v>734</v>
      </c>
      <c r="C126" s="321">
        <v>67796.7</v>
      </c>
      <c r="D126" s="321">
        <v>67796.7</v>
      </c>
    </row>
    <row r="127" spans="1:4" s="308" customFormat="1" ht="63">
      <c r="A127" s="350" t="s">
        <v>735</v>
      </c>
      <c r="B127" s="352" t="s">
        <v>736</v>
      </c>
      <c r="C127" s="321">
        <f>C128</f>
        <v>8476.6</v>
      </c>
      <c r="D127" s="321">
        <f>D128</f>
        <v>6977.9</v>
      </c>
    </row>
    <row r="128" spans="1:4" s="308" customFormat="1" ht="63">
      <c r="A128" s="350" t="s">
        <v>737</v>
      </c>
      <c r="B128" s="352" t="s">
        <v>738</v>
      </c>
      <c r="C128" s="321">
        <v>8476.6</v>
      </c>
      <c r="D128" s="321">
        <v>6977.9</v>
      </c>
    </row>
    <row r="129" spans="1:4" s="308" customFormat="1" ht="31.5">
      <c r="A129" s="353" t="s">
        <v>739</v>
      </c>
      <c r="B129" s="354" t="s">
        <v>740</v>
      </c>
      <c r="C129" s="321">
        <f>C130</f>
        <v>7927.8</v>
      </c>
      <c r="D129" s="321">
        <f>D130</f>
        <v>7927.8</v>
      </c>
    </row>
    <row r="130" spans="1:4" s="308" customFormat="1" ht="31.5">
      <c r="A130" s="353" t="s">
        <v>741</v>
      </c>
      <c r="B130" s="354" t="s">
        <v>742</v>
      </c>
      <c r="C130" s="321">
        <f>6489.8+1438</f>
        <v>7927.8</v>
      </c>
      <c r="D130" s="321">
        <v>7927.8</v>
      </c>
    </row>
    <row r="131" spans="1:4" s="308" customFormat="1" ht="31.5">
      <c r="A131" s="355" t="s">
        <v>743</v>
      </c>
      <c r="B131" s="356" t="s">
        <v>744</v>
      </c>
      <c r="C131" s="321">
        <f>C132</f>
        <v>14945</v>
      </c>
      <c r="D131" s="321">
        <f>D132</f>
        <v>14944.9</v>
      </c>
    </row>
    <row r="132" spans="1:4" s="308" customFormat="1" ht="31.5">
      <c r="A132" s="355" t="s">
        <v>745</v>
      </c>
      <c r="B132" s="356" t="s">
        <v>746</v>
      </c>
      <c r="C132" s="321">
        <v>14945</v>
      </c>
      <c r="D132" s="321">
        <v>14944.9</v>
      </c>
    </row>
    <row r="133" spans="1:4" s="308" customFormat="1" ht="12.75">
      <c r="A133" s="357" t="s">
        <v>747</v>
      </c>
      <c r="B133" s="349" t="s">
        <v>748</v>
      </c>
      <c r="C133" s="321">
        <f>C134+C135+C136+C139+C140+C141+C138+C137+C142</f>
        <v>35168.5</v>
      </c>
      <c r="D133" s="321">
        <f>D134+D135+D136+D139+D140+D141+D138+D137+D142</f>
        <v>31419.600000000002</v>
      </c>
    </row>
    <row r="134" spans="1:4" s="308" customFormat="1" ht="47.25">
      <c r="A134" s="350" t="s">
        <v>749</v>
      </c>
      <c r="B134" s="352" t="s">
        <v>750</v>
      </c>
      <c r="C134" s="321">
        <f>4088.2-1328.2</f>
        <v>2760</v>
      </c>
      <c r="D134" s="321">
        <v>2759.9</v>
      </c>
    </row>
    <row r="135" spans="1:4" s="308" customFormat="1" ht="31.5">
      <c r="A135" s="350" t="s">
        <v>749</v>
      </c>
      <c r="B135" s="352" t="s">
        <v>751</v>
      </c>
      <c r="C135" s="321">
        <v>121.3</v>
      </c>
      <c r="D135" s="321">
        <v>121.3</v>
      </c>
    </row>
    <row r="136" spans="1:4" s="308" customFormat="1" ht="31.5">
      <c r="A136" s="350" t="s">
        <v>749</v>
      </c>
      <c r="B136" s="352" t="s">
        <v>752</v>
      </c>
      <c r="C136" s="321">
        <v>3421.3</v>
      </c>
      <c r="D136" s="321">
        <v>0</v>
      </c>
    </row>
    <row r="137" spans="1:4" s="308" customFormat="1" ht="31.5">
      <c r="A137" s="358" t="s">
        <v>749</v>
      </c>
      <c r="B137" s="352" t="s">
        <v>753</v>
      </c>
      <c r="C137" s="321">
        <v>320</v>
      </c>
      <c r="D137" s="321">
        <v>320</v>
      </c>
    </row>
    <row r="138" spans="1:4" s="308" customFormat="1" ht="31.5">
      <c r="A138" s="358" t="s">
        <v>749</v>
      </c>
      <c r="B138" s="356" t="s">
        <v>754</v>
      </c>
      <c r="C138" s="321">
        <f>3354.1+240.7</f>
        <v>3594.7999999999997</v>
      </c>
      <c r="D138" s="321">
        <v>3588.1</v>
      </c>
    </row>
    <row r="139" spans="1:4" s="308" customFormat="1" ht="35.25" customHeight="1">
      <c r="A139" s="350" t="s">
        <v>749</v>
      </c>
      <c r="B139" s="352" t="s">
        <v>755</v>
      </c>
      <c r="C139" s="321">
        <v>12993.1</v>
      </c>
      <c r="D139" s="321">
        <v>12993.1</v>
      </c>
    </row>
    <row r="140" spans="1:4" ht="12.75">
      <c r="A140" s="350" t="s">
        <v>756</v>
      </c>
      <c r="B140" s="359" t="s">
        <v>757</v>
      </c>
      <c r="C140" s="321">
        <f>459.3+17.6</f>
        <v>476.90000000000003</v>
      </c>
      <c r="D140" s="321">
        <v>476.9</v>
      </c>
    </row>
    <row r="141" spans="1:4" ht="47.25">
      <c r="A141" s="350" t="s">
        <v>749</v>
      </c>
      <c r="B141" s="352" t="s">
        <v>758</v>
      </c>
      <c r="C141" s="321">
        <v>9268.6</v>
      </c>
      <c r="D141" s="321">
        <v>9268.6</v>
      </c>
    </row>
    <row r="142" spans="1:6" ht="47.25">
      <c r="A142" s="11" t="s">
        <v>756</v>
      </c>
      <c r="B142" s="361" t="s">
        <v>759</v>
      </c>
      <c r="C142" s="321">
        <v>2212.5</v>
      </c>
      <c r="D142" s="321">
        <v>1891.7</v>
      </c>
      <c r="F142" s="362"/>
    </row>
    <row r="143" spans="1:4" ht="31.5">
      <c r="A143" s="338" t="s">
        <v>760</v>
      </c>
      <c r="B143" s="339" t="s">
        <v>761</v>
      </c>
      <c r="C143" s="318">
        <f>C152+C154+C144+C148+C146+C150</f>
        <v>335082.80000000005</v>
      </c>
      <c r="D143" s="318">
        <f aca="true" t="shared" si="15" ref="D143">D152+D154+D144+D148+D146+D150</f>
        <v>332794.30000000005</v>
      </c>
    </row>
    <row r="144" spans="1:4" ht="78.75">
      <c r="A144" s="319" t="s">
        <v>762</v>
      </c>
      <c r="B144" s="352" t="s">
        <v>763</v>
      </c>
      <c r="C144" s="321">
        <f>C145</f>
        <v>9588.3</v>
      </c>
      <c r="D144" s="321">
        <f>D145</f>
        <v>7300</v>
      </c>
    </row>
    <row r="145" spans="1:4" ht="78.75">
      <c r="A145" s="353" t="s">
        <v>764</v>
      </c>
      <c r="B145" s="352" t="s">
        <v>765</v>
      </c>
      <c r="C145" s="321">
        <v>9588.3</v>
      </c>
      <c r="D145" s="321">
        <v>7300</v>
      </c>
    </row>
    <row r="146" spans="1:4" ht="63">
      <c r="A146" s="353" t="s">
        <v>766</v>
      </c>
      <c r="B146" s="354" t="s">
        <v>767</v>
      </c>
      <c r="C146" s="321">
        <f>C147</f>
        <v>1957.6</v>
      </c>
      <c r="D146" s="321">
        <f>D147</f>
        <v>1957.5</v>
      </c>
    </row>
    <row r="147" spans="1:4" ht="63">
      <c r="A147" s="353" t="s">
        <v>768</v>
      </c>
      <c r="B147" s="354" t="s">
        <v>769</v>
      </c>
      <c r="C147" s="321">
        <v>1957.6</v>
      </c>
      <c r="D147" s="321">
        <v>1957.5</v>
      </c>
    </row>
    <row r="148" spans="1:4" ht="63">
      <c r="A148" s="319" t="s">
        <v>770</v>
      </c>
      <c r="B148" s="352" t="s">
        <v>771</v>
      </c>
      <c r="C148" s="321">
        <f>C149</f>
        <v>28.9</v>
      </c>
      <c r="D148" s="321">
        <f>D149</f>
        <v>28.9</v>
      </c>
    </row>
    <row r="149" spans="1:4" ht="63">
      <c r="A149" s="319" t="s">
        <v>772</v>
      </c>
      <c r="B149" s="352" t="s">
        <v>773</v>
      </c>
      <c r="C149" s="321">
        <v>28.9</v>
      </c>
      <c r="D149" s="321">
        <v>28.9</v>
      </c>
    </row>
    <row r="150" spans="1:4" ht="63">
      <c r="A150" s="319" t="s">
        <v>774</v>
      </c>
      <c r="B150" s="352" t="s">
        <v>775</v>
      </c>
      <c r="C150" s="321">
        <f>C151</f>
        <v>4843.4</v>
      </c>
      <c r="D150" s="321">
        <f aca="true" t="shared" si="16" ref="D150">D151</f>
        <v>4843.4</v>
      </c>
    </row>
    <row r="151" spans="1:4" ht="63">
      <c r="A151" s="319" t="s">
        <v>776</v>
      </c>
      <c r="B151" s="352" t="s">
        <v>777</v>
      </c>
      <c r="C151" s="321">
        <v>4843.4</v>
      </c>
      <c r="D151" s="321">
        <v>4843.4</v>
      </c>
    </row>
    <row r="152" spans="1:4" ht="31.5">
      <c r="A152" s="319" t="s">
        <v>778</v>
      </c>
      <c r="B152" s="352" t="s">
        <v>779</v>
      </c>
      <c r="C152" s="321">
        <f>C153</f>
        <v>1965.4</v>
      </c>
      <c r="D152" s="321">
        <f>D153</f>
        <v>1965.4</v>
      </c>
    </row>
    <row r="153" spans="1:4" ht="31.5">
      <c r="A153" s="319" t="s">
        <v>780</v>
      </c>
      <c r="B153" s="352" t="s">
        <v>781</v>
      </c>
      <c r="C153" s="321">
        <v>1965.4</v>
      </c>
      <c r="D153" s="321">
        <v>1965.4</v>
      </c>
    </row>
    <row r="154" spans="1:5" s="364" customFormat="1" ht="12.75">
      <c r="A154" s="319" t="s">
        <v>782</v>
      </c>
      <c r="B154" s="352" t="s">
        <v>783</v>
      </c>
      <c r="C154" s="321">
        <f>SUM(C155:C159)</f>
        <v>316699.2</v>
      </c>
      <c r="D154" s="321">
        <f>SUM(D155:D159)</f>
        <v>316699.1</v>
      </c>
      <c r="E154" s="363"/>
    </row>
    <row r="155" spans="1:4" ht="94.5">
      <c r="A155" s="319" t="s">
        <v>784</v>
      </c>
      <c r="B155" s="352" t="s">
        <v>785</v>
      </c>
      <c r="C155" s="321">
        <v>200357.1</v>
      </c>
      <c r="D155" s="321">
        <v>200357.1</v>
      </c>
    </row>
    <row r="156" spans="1:4" ht="63">
      <c r="A156" s="319" t="s">
        <v>784</v>
      </c>
      <c r="B156" s="352" t="s">
        <v>786</v>
      </c>
      <c r="C156" s="321">
        <f>105490+2767.2+307.4</f>
        <v>108564.59999999999</v>
      </c>
      <c r="D156" s="321">
        <v>108564.6</v>
      </c>
    </row>
    <row r="157" spans="1:4" ht="47.25">
      <c r="A157" s="319" t="s">
        <v>784</v>
      </c>
      <c r="B157" s="352" t="s">
        <v>787</v>
      </c>
      <c r="C157" s="321">
        <f>354+308.1</f>
        <v>662.1</v>
      </c>
      <c r="D157" s="321">
        <v>662.1</v>
      </c>
    </row>
    <row r="158" spans="1:4" ht="63">
      <c r="A158" s="319" t="s">
        <v>784</v>
      </c>
      <c r="B158" s="352" t="s">
        <v>788</v>
      </c>
      <c r="C158" s="321">
        <v>264</v>
      </c>
      <c r="D158" s="321">
        <v>264</v>
      </c>
    </row>
    <row r="159" spans="1:4" ht="78.75">
      <c r="A159" s="319" t="s">
        <v>784</v>
      </c>
      <c r="B159" s="352" t="s">
        <v>789</v>
      </c>
      <c r="C159" s="321">
        <f>1957.6+4893.8</f>
        <v>6851.4</v>
      </c>
      <c r="D159" s="321">
        <v>6851.3</v>
      </c>
    </row>
    <row r="160" spans="1:4" ht="12.75">
      <c r="A160" s="316" t="s">
        <v>790</v>
      </c>
      <c r="B160" s="339" t="s">
        <v>791</v>
      </c>
      <c r="C160" s="318">
        <f>C163+C161</f>
        <v>1930.9</v>
      </c>
      <c r="D160" s="318">
        <f>D163+D161</f>
        <v>2063.6</v>
      </c>
    </row>
    <row r="161" spans="1:4" ht="47.25">
      <c r="A161" s="316" t="s">
        <v>792</v>
      </c>
      <c r="B161" s="339" t="s">
        <v>793</v>
      </c>
      <c r="C161" s="318">
        <f>C162</f>
        <v>0</v>
      </c>
      <c r="D161" s="318">
        <f>D162</f>
        <v>177.7</v>
      </c>
    </row>
    <row r="162" spans="1:4" ht="47.25">
      <c r="A162" s="319" t="s">
        <v>794</v>
      </c>
      <c r="B162" s="352" t="s">
        <v>795</v>
      </c>
      <c r="C162" s="321">
        <v>0</v>
      </c>
      <c r="D162" s="321">
        <v>177.7</v>
      </c>
    </row>
    <row r="163" spans="1:4" ht="31.5">
      <c r="A163" s="316" t="s">
        <v>796</v>
      </c>
      <c r="B163" s="339" t="s">
        <v>797</v>
      </c>
      <c r="C163" s="318">
        <f>C164+C165</f>
        <v>1930.9</v>
      </c>
      <c r="D163" s="318">
        <f>D164+D165</f>
        <v>1885.9</v>
      </c>
    </row>
    <row r="164" spans="1:4" ht="31.5">
      <c r="A164" s="319" t="s">
        <v>798</v>
      </c>
      <c r="B164" s="352" t="s">
        <v>799</v>
      </c>
      <c r="C164" s="321">
        <v>1000</v>
      </c>
      <c r="D164" s="321">
        <v>955</v>
      </c>
    </row>
    <row r="165" spans="1:4" ht="47.25">
      <c r="A165" s="365" t="s">
        <v>798</v>
      </c>
      <c r="B165" s="366" t="s">
        <v>800</v>
      </c>
      <c r="C165" s="321">
        <f>920+10.9</f>
        <v>930.9</v>
      </c>
      <c r="D165" s="321">
        <v>930.9</v>
      </c>
    </row>
    <row r="166" spans="1:4" ht="47.25">
      <c r="A166" s="367" t="s">
        <v>801</v>
      </c>
      <c r="B166" s="368" t="s">
        <v>802</v>
      </c>
      <c r="C166" s="318">
        <f>C167</f>
        <v>-624.7</v>
      </c>
      <c r="D166" s="318">
        <f aca="true" t="shared" si="17" ref="D166">D167</f>
        <v>-653.4</v>
      </c>
    </row>
    <row r="167" spans="1:4" ht="47.25">
      <c r="A167" s="367" t="s">
        <v>803</v>
      </c>
      <c r="B167" s="368" t="s">
        <v>804</v>
      </c>
      <c r="C167" s="318">
        <f>C169</f>
        <v>-624.7</v>
      </c>
      <c r="D167" s="318">
        <f>D169+D168</f>
        <v>-653.4</v>
      </c>
    </row>
    <row r="168" spans="1:4" ht="63">
      <c r="A168" s="365" t="s">
        <v>805</v>
      </c>
      <c r="B168" s="366" t="s">
        <v>806</v>
      </c>
      <c r="C168" s="321">
        <v>0</v>
      </c>
      <c r="D168" s="321">
        <v>-28.6</v>
      </c>
    </row>
    <row r="169" spans="1:4" ht="47.25">
      <c r="A169" s="365" t="s">
        <v>807</v>
      </c>
      <c r="B169" s="366" t="s">
        <v>808</v>
      </c>
      <c r="C169" s="321">
        <v>-624.7</v>
      </c>
      <c r="D169" s="321">
        <v>-624.8</v>
      </c>
    </row>
    <row r="170" spans="1:4" ht="12.75">
      <c r="A170" s="316"/>
      <c r="B170" s="369" t="s">
        <v>809</v>
      </c>
      <c r="C170" s="318">
        <f>C8+C112</f>
        <v>934791.0000000002</v>
      </c>
      <c r="D170" s="318">
        <f>D8+D112</f>
        <v>936185.3</v>
      </c>
    </row>
    <row r="171" ht="12.75">
      <c r="C171" s="370"/>
    </row>
    <row r="172" spans="1:5" s="371" customFormat="1" ht="12.75">
      <c r="A172" s="309"/>
      <c r="B172" s="307"/>
      <c r="C172" s="370"/>
      <c r="D172" s="311"/>
      <c r="E172" s="308"/>
    </row>
    <row r="173" spans="1:5" s="371" customFormat="1" ht="12.75">
      <c r="A173" s="309"/>
      <c r="B173" s="307"/>
      <c r="C173" s="370"/>
      <c r="D173" s="311"/>
      <c r="E173" s="308"/>
    </row>
    <row r="174" spans="1:5" s="371" customFormat="1" ht="12.75">
      <c r="A174" s="309"/>
      <c r="B174" s="307"/>
      <c r="C174" s="370"/>
      <c r="D174" s="311"/>
      <c r="E174" s="308"/>
    </row>
    <row r="175" spans="2:3" ht="12.75">
      <c r="B175" s="360"/>
      <c r="C175" s="308"/>
    </row>
    <row r="176" spans="1:5" s="371" customFormat="1" ht="12.75">
      <c r="A176" s="309"/>
      <c r="B176" s="307"/>
      <c r="C176" s="372"/>
      <c r="D176" s="372"/>
      <c r="E176" s="308"/>
    </row>
  </sheetData>
  <mergeCells count="4">
    <mergeCell ref="C1:D1"/>
    <mergeCell ref="A2:D2"/>
    <mergeCell ref="B3:D3"/>
    <mergeCell ref="A5:D5"/>
  </mergeCells>
  <printOptions/>
  <pageMargins left="0.7874015748031497" right="0.1968503937007874" top="0.1968503937007874" bottom="0.1968503937007874" header="0.31496062992125984" footer="0.31496062992125984"/>
  <pageSetup fitToHeight="7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view="pageBreakPreview" zoomScale="60" workbookViewId="0" topLeftCell="A1">
      <selection activeCell="B3" sqref="B3:D3"/>
    </sheetView>
  </sheetViews>
  <sheetFormatPr defaultColWidth="9.125" defaultRowHeight="12.75"/>
  <cols>
    <col min="1" max="1" width="10.25390625" style="398" customWidth="1"/>
    <col min="2" max="2" width="61.125" style="374" customWidth="1"/>
    <col min="3" max="3" width="28.875" style="374" customWidth="1"/>
    <col min="4" max="4" width="14.75390625" style="399" customWidth="1"/>
    <col min="5" max="5" width="15.75390625" style="374" bestFit="1" customWidth="1"/>
    <col min="6" max="6" width="20.75390625" style="374" customWidth="1"/>
    <col min="7" max="16384" width="9.125" style="374" customWidth="1"/>
  </cols>
  <sheetData>
    <row r="1" spans="1:4" ht="12.75">
      <c r="A1" s="373"/>
      <c r="B1" s="413" t="s">
        <v>810</v>
      </c>
      <c r="C1" s="413"/>
      <c r="D1" s="413"/>
    </row>
    <row r="2" spans="1:4" ht="12.75">
      <c r="A2" s="373"/>
      <c r="B2" s="413" t="s">
        <v>497</v>
      </c>
      <c r="C2" s="413"/>
      <c r="D2" s="413"/>
    </row>
    <row r="3" spans="1:4" ht="12.75">
      <c r="A3" s="373"/>
      <c r="B3" s="413" t="s">
        <v>1056</v>
      </c>
      <c r="C3" s="413"/>
      <c r="D3" s="413"/>
    </row>
    <row r="5" spans="1:4" ht="31.5" customHeight="1">
      <c r="A5" s="414" t="s">
        <v>1049</v>
      </c>
      <c r="B5" s="414"/>
      <c r="C5" s="414"/>
      <c r="D5" s="414"/>
    </row>
    <row r="7" spans="1:4" ht="12.75">
      <c r="A7" s="415" t="s">
        <v>811</v>
      </c>
      <c r="B7" s="415" t="s">
        <v>812</v>
      </c>
      <c r="C7" s="415" t="s">
        <v>813</v>
      </c>
      <c r="D7" s="416" t="s">
        <v>814</v>
      </c>
    </row>
    <row r="8" spans="1:4" ht="12.75">
      <c r="A8" s="415"/>
      <c r="B8" s="415"/>
      <c r="C8" s="415"/>
      <c r="D8" s="416"/>
    </row>
    <row r="9" spans="1:5" s="376" customFormat="1" ht="12.75">
      <c r="A9" s="375" t="s">
        <v>815</v>
      </c>
      <c r="B9" s="420" t="s">
        <v>425</v>
      </c>
      <c r="C9" s="420"/>
      <c r="D9" s="420"/>
      <c r="E9" s="376" t="s">
        <v>816</v>
      </c>
    </row>
    <row r="10" spans="1:4" s="376" customFormat="1" ht="31.5">
      <c r="A10" s="377"/>
      <c r="B10" s="378" t="s">
        <v>613</v>
      </c>
      <c r="C10" s="379" t="s">
        <v>817</v>
      </c>
      <c r="D10" s="380">
        <v>955.3</v>
      </c>
    </row>
    <row r="11" spans="1:4" s="376" customFormat="1" ht="78.75">
      <c r="A11" s="377"/>
      <c r="B11" s="378" t="s">
        <v>643</v>
      </c>
      <c r="C11" s="379" t="s">
        <v>818</v>
      </c>
      <c r="D11" s="380">
        <v>25</v>
      </c>
    </row>
    <row r="12" spans="1:7" ht="63">
      <c r="A12" s="381"/>
      <c r="B12" s="378" t="s">
        <v>683</v>
      </c>
      <c r="C12" s="379" t="s">
        <v>819</v>
      </c>
      <c r="D12" s="380">
        <v>120.5</v>
      </c>
      <c r="G12" s="382"/>
    </row>
    <row r="13" spans="1:4" ht="94.5">
      <c r="A13" s="381"/>
      <c r="B13" s="378" t="s">
        <v>689</v>
      </c>
      <c r="C13" s="379" t="s">
        <v>820</v>
      </c>
      <c r="D13" s="380">
        <v>1781</v>
      </c>
    </row>
    <row r="14" spans="1:4" ht="173.25">
      <c r="A14" s="381"/>
      <c r="B14" s="378" t="s">
        <v>821</v>
      </c>
      <c r="C14" s="379" t="s">
        <v>822</v>
      </c>
      <c r="D14" s="380">
        <v>26.2</v>
      </c>
    </row>
    <row r="15" spans="1:4" ht="63">
      <c r="A15" s="381"/>
      <c r="B15" s="378" t="s">
        <v>701</v>
      </c>
      <c r="C15" s="379" t="s">
        <v>823</v>
      </c>
      <c r="D15" s="380">
        <v>1013.6</v>
      </c>
    </row>
    <row r="16" spans="1:4" s="376" customFormat="1" ht="12.75">
      <c r="A16" s="375" t="s">
        <v>824</v>
      </c>
      <c r="B16" s="421" t="s">
        <v>432</v>
      </c>
      <c r="C16" s="421"/>
      <c r="D16" s="421"/>
    </row>
    <row r="17" spans="1:4" s="376" customFormat="1" ht="31.5">
      <c r="A17" s="377"/>
      <c r="B17" s="352" t="s">
        <v>717</v>
      </c>
      <c r="C17" s="353" t="s">
        <v>825</v>
      </c>
      <c r="D17" s="383">
        <v>7045.3</v>
      </c>
    </row>
    <row r="18" spans="1:4" s="376" customFormat="1" ht="78.75">
      <c r="A18" s="377"/>
      <c r="B18" s="352" t="s">
        <v>826</v>
      </c>
      <c r="C18" s="353" t="s">
        <v>827</v>
      </c>
      <c r="D18" s="383">
        <v>28180.5</v>
      </c>
    </row>
    <row r="19" spans="1:4" s="376" customFormat="1" ht="141.75">
      <c r="A19" s="377"/>
      <c r="B19" s="384" t="s">
        <v>828</v>
      </c>
      <c r="C19" s="385" t="s">
        <v>829</v>
      </c>
      <c r="D19" s="383">
        <v>5149.6</v>
      </c>
    </row>
    <row r="20" spans="1:4" s="376" customFormat="1" ht="126">
      <c r="A20" s="381"/>
      <c r="B20" s="384" t="s">
        <v>830</v>
      </c>
      <c r="C20" s="385" t="s">
        <v>831</v>
      </c>
      <c r="D20" s="380">
        <v>36506.8</v>
      </c>
    </row>
    <row r="21" spans="1:4" s="376" customFormat="1" ht="141.75">
      <c r="A21" s="381"/>
      <c r="B21" s="384" t="s">
        <v>832</v>
      </c>
      <c r="C21" s="385" t="s">
        <v>833</v>
      </c>
      <c r="D21" s="380">
        <v>2546.7</v>
      </c>
    </row>
    <row r="22" spans="1:4" s="376" customFormat="1" ht="78.75">
      <c r="A22" s="381"/>
      <c r="B22" s="384" t="s">
        <v>734</v>
      </c>
      <c r="C22" s="385" t="s">
        <v>834</v>
      </c>
      <c r="D22" s="380">
        <v>67796.7</v>
      </c>
    </row>
    <row r="23" spans="1:4" s="376" customFormat="1" ht="63">
      <c r="A23" s="381"/>
      <c r="B23" s="378" t="s">
        <v>738</v>
      </c>
      <c r="C23" s="379" t="s">
        <v>835</v>
      </c>
      <c r="D23" s="380">
        <v>6977.9</v>
      </c>
    </row>
    <row r="24" spans="1:4" s="376" customFormat="1" ht="31.5">
      <c r="A24" s="381"/>
      <c r="B24" s="384" t="s">
        <v>742</v>
      </c>
      <c r="C24" s="379" t="s">
        <v>836</v>
      </c>
      <c r="D24" s="380">
        <v>7927.8</v>
      </c>
    </row>
    <row r="25" spans="1:4" s="376" customFormat="1" ht="31.5">
      <c r="A25" s="381"/>
      <c r="B25" s="384" t="s">
        <v>746</v>
      </c>
      <c r="C25" s="379" t="s">
        <v>837</v>
      </c>
      <c r="D25" s="380">
        <v>14944.9</v>
      </c>
    </row>
    <row r="26" spans="1:4" s="376" customFormat="1" ht="63">
      <c r="A26" s="381"/>
      <c r="B26" s="378" t="s">
        <v>838</v>
      </c>
      <c r="C26" s="379" t="s">
        <v>839</v>
      </c>
      <c r="D26" s="380">
        <v>2759.9</v>
      </c>
    </row>
    <row r="27" spans="1:4" s="376" customFormat="1" ht="31.5">
      <c r="A27" s="381"/>
      <c r="B27" s="378" t="s">
        <v>840</v>
      </c>
      <c r="C27" s="379" t="s">
        <v>841</v>
      </c>
      <c r="D27" s="380">
        <v>476.9</v>
      </c>
    </row>
    <row r="28" spans="1:4" s="376" customFormat="1" ht="63">
      <c r="A28" s="381"/>
      <c r="B28" s="378" t="s">
        <v>842</v>
      </c>
      <c r="C28" s="379" t="s">
        <v>843</v>
      </c>
      <c r="D28" s="380">
        <v>1891.7</v>
      </c>
    </row>
    <row r="29" spans="1:4" s="376" customFormat="1" ht="47.25">
      <c r="A29" s="381"/>
      <c r="B29" s="378" t="s">
        <v>844</v>
      </c>
      <c r="C29" s="379" t="s">
        <v>845</v>
      </c>
      <c r="D29" s="380">
        <v>320</v>
      </c>
    </row>
    <row r="30" spans="1:4" s="376" customFormat="1" ht="47.25">
      <c r="A30" s="381"/>
      <c r="B30" s="378" t="s">
        <v>846</v>
      </c>
      <c r="C30" s="379" t="s">
        <v>847</v>
      </c>
      <c r="D30" s="380">
        <v>3588.1</v>
      </c>
    </row>
    <row r="31" spans="1:4" s="376" customFormat="1" ht="47.25">
      <c r="A31" s="381"/>
      <c r="B31" s="378" t="s">
        <v>848</v>
      </c>
      <c r="C31" s="379" t="s">
        <v>849</v>
      </c>
      <c r="D31" s="380">
        <v>121.3</v>
      </c>
    </row>
    <row r="32" spans="1:4" s="376" customFormat="1" ht="63">
      <c r="A32" s="381"/>
      <c r="B32" s="378" t="s">
        <v>850</v>
      </c>
      <c r="C32" s="379" t="s">
        <v>851</v>
      </c>
      <c r="D32" s="380">
        <v>9268.6</v>
      </c>
    </row>
    <row r="33" spans="1:4" s="376" customFormat="1" ht="47.25">
      <c r="A33" s="381"/>
      <c r="B33" s="378" t="s">
        <v>852</v>
      </c>
      <c r="C33" s="379" t="s">
        <v>853</v>
      </c>
      <c r="D33" s="380">
        <v>12993.1</v>
      </c>
    </row>
    <row r="34" spans="1:4" s="376" customFormat="1" ht="94.5">
      <c r="A34" s="381"/>
      <c r="B34" s="352" t="s">
        <v>765</v>
      </c>
      <c r="C34" s="319" t="s">
        <v>854</v>
      </c>
      <c r="D34" s="380">
        <v>7300</v>
      </c>
    </row>
    <row r="35" spans="1:4" s="376" customFormat="1" ht="78.75">
      <c r="A35" s="381"/>
      <c r="B35" s="378" t="s">
        <v>769</v>
      </c>
      <c r="C35" s="379" t="s">
        <v>855</v>
      </c>
      <c r="D35" s="380">
        <v>1957.5</v>
      </c>
    </row>
    <row r="36" spans="1:4" s="376" customFormat="1" ht="63">
      <c r="A36" s="381"/>
      <c r="B36" s="352" t="s">
        <v>773</v>
      </c>
      <c r="C36" s="319" t="s">
        <v>856</v>
      </c>
      <c r="D36" s="380">
        <v>28.9</v>
      </c>
    </row>
    <row r="37" spans="1:4" s="376" customFormat="1" ht="63">
      <c r="A37" s="381"/>
      <c r="B37" s="352" t="s">
        <v>777</v>
      </c>
      <c r="C37" s="319" t="s">
        <v>857</v>
      </c>
      <c r="D37" s="380">
        <v>4843.4</v>
      </c>
    </row>
    <row r="38" spans="1:4" s="376" customFormat="1" ht="47.25">
      <c r="A38" s="381"/>
      <c r="B38" s="352" t="s">
        <v>781</v>
      </c>
      <c r="C38" s="319" t="s">
        <v>858</v>
      </c>
      <c r="D38" s="380">
        <v>1965.4</v>
      </c>
    </row>
    <row r="39" spans="1:4" s="376" customFormat="1" ht="78.75">
      <c r="A39" s="381"/>
      <c r="B39" s="386" t="s">
        <v>859</v>
      </c>
      <c r="C39" s="379" t="s">
        <v>860</v>
      </c>
      <c r="D39" s="380">
        <v>662.1</v>
      </c>
    </row>
    <row r="40" spans="1:4" s="376" customFormat="1" ht="126">
      <c r="A40" s="381"/>
      <c r="B40" s="386" t="s">
        <v>861</v>
      </c>
      <c r="C40" s="379" t="s">
        <v>862</v>
      </c>
      <c r="D40" s="380">
        <v>200357.1</v>
      </c>
    </row>
    <row r="41" spans="1:4" s="376" customFormat="1" ht="94.5">
      <c r="A41" s="381"/>
      <c r="B41" s="386" t="s">
        <v>863</v>
      </c>
      <c r="C41" s="379" t="s">
        <v>864</v>
      </c>
      <c r="D41" s="380">
        <v>264</v>
      </c>
    </row>
    <row r="42" spans="1:4" s="376" customFormat="1" ht="78.75">
      <c r="A42" s="381"/>
      <c r="B42" s="386" t="s">
        <v>865</v>
      </c>
      <c r="C42" s="379" t="s">
        <v>866</v>
      </c>
      <c r="D42" s="380">
        <v>108564.6</v>
      </c>
    </row>
    <row r="43" spans="1:4" s="376" customFormat="1" ht="126">
      <c r="A43" s="381"/>
      <c r="B43" s="386" t="s">
        <v>867</v>
      </c>
      <c r="C43" s="379" t="s">
        <v>868</v>
      </c>
      <c r="D43" s="380">
        <v>6851.3</v>
      </c>
    </row>
    <row r="44" spans="1:4" s="376" customFormat="1" ht="47.25">
      <c r="A44" s="381"/>
      <c r="B44" s="386" t="s">
        <v>795</v>
      </c>
      <c r="C44" s="379" t="s">
        <v>869</v>
      </c>
      <c r="D44" s="380">
        <v>177.7</v>
      </c>
    </row>
    <row r="45" spans="1:4" s="376" customFormat="1" ht="78.75">
      <c r="A45" s="381"/>
      <c r="B45" s="386" t="s">
        <v>870</v>
      </c>
      <c r="C45" s="379" t="s">
        <v>871</v>
      </c>
      <c r="D45" s="380">
        <v>930.9</v>
      </c>
    </row>
    <row r="46" spans="1:4" s="376" customFormat="1" ht="63">
      <c r="A46" s="381"/>
      <c r="B46" s="386" t="s">
        <v>872</v>
      </c>
      <c r="C46" s="379" t="s">
        <v>873</v>
      </c>
      <c r="D46" s="380">
        <v>955</v>
      </c>
    </row>
    <row r="47" spans="1:4" s="376" customFormat="1" ht="78.75">
      <c r="A47" s="381"/>
      <c r="B47" s="386" t="s">
        <v>806</v>
      </c>
      <c r="C47" s="379" t="s">
        <v>874</v>
      </c>
      <c r="D47" s="380">
        <v>-28.6</v>
      </c>
    </row>
    <row r="48" spans="1:4" s="376" customFormat="1" ht="47.25">
      <c r="A48" s="381"/>
      <c r="B48" s="386" t="s">
        <v>808</v>
      </c>
      <c r="C48" s="379" t="s">
        <v>875</v>
      </c>
      <c r="D48" s="380">
        <v>-624.8</v>
      </c>
    </row>
    <row r="49" spans="1:4" s="376" customFormat="1" ht="33.75" customHeight="1">
      <c r="A49" s="375" t="s">
        <v>876</v>
      </c>
      <c r="B49" s="421" t="s">
        <v>436</v>
      </c>
      <c r="C49" s="421"/>
      <c r="D49" s="421"/>
    </row>
    <row r="50" spans="1:4" s="376" customFormat="1" ht="94.5">
      <c r="A50" s="377"/>
      <c r="B50" s="378" t="s">
        <v>571</v>
      </c>
      <c r="C50" s="387" t="s">
        <v>877</v>
      </c>
      <c r="D50" s="380">
        <v>16159.2</v>
      </c>
    </row>
    <row r="51" spans="1:4" s="376" customFormat="1" ht="78.75">
      <c r="A51" s="377"/>
      <c r="B51" s="378" t="s">
        <v>878</v>
      </c>
      <c r="C51" s="379" t="s">
        <v>879</v>
      </c>
      <c r="D51" s="380">
        <v>1519.4</v>
      </c>
    </row>
    <row r="52" spans="1:4" s="376" customFormat="1" ht="31.5">
      <c r="A52" s="377"/>
      <c r="B52" s="378" t="s">
        <v>880</v>
      </c>
      <c r="C52" s="379" t="s">
        <v>881</v>
      </c>
      <c r="D52" s="380">
        <v>10526.7</v>
      </c>
    </row>
    <row r="53" spans="1:4" s="376" customFormat="1" ht="63">
      <c r="A53" s="377"/>
      <c r="B53" s="378" t="s">
        <v>585</v>
      </c>
      <c r="C53" s="379" t="s">
        <v>882</v>
      </c>
      <c r="D53" s="380">
        <v>26.1</v>
      </c>
    </row>
    <row r="54" spans="1:4" s="376" customFormat="1" ht="94.5">
      <c r="A54" s="377"/>
      <c r="B54" s="378" t="s">
        <v>591</v>
      </c>
      <c r="C54" s="379" t="s">
        <v>883</v>
      </c>
      <c r="D54" s="380">
        <v>2038.6</v>
      </c>
    </row>
    <row r="55" spans="1:4" s="376" customFormat="1" ht="31.5">
      <c r="A55" s="377"/>
      <c r="B55" s="359" t="s">
        <v>613</v>
      </c>
      <c r="C55" s="388" t="s">
        <v>884</v>
      </c>
      <c r="D55" s="380">
        <v>9.9</v>
      </c>
    </row>
    <row r="56" spans="1:5" s="376" customFormat="1" ht="47.25">
      <c r="A56" s="377"/>
      <c r="B56" s="389" t="s">
        <v>621</v>
      </c>
      <c r="C56" s="387" t="s">
        <v>885</v>
      </c>
      <c r="D56" s="380">
        <v>2590.2</v>
      </c>
      <c r="E56" s="390"/>
    </row>
    <row r="57" spans="1:5" s="376" customFormat="1" ht="12.75">
      <c r="A57" s="377"/>
      <c r="B57" s="389" t="s">
        <v>886</v>
      </c>
      <c r="C57" s="387" t="s">
        <v>887</v>
      </c>
      <c r="D57" s="380">
        <v>9824.3</v>
      </c>
      <c r="E57" s="390"/>
    </row>
    <row r="58" spans="1:5" s="376" customFormat="1" ht="63">
      <c r="A58" s="377"/>
      <c r="B58" s="389" t="s">
        <v>888</v>
      </c>
      <c r="C58" s="387" t="s">
        <v>889</v>
      </c>
      <c r="D58" s="380">
        <v>773</v>
      </c>
      <c r="E58" s="390"/>
    </row>
    <row r="59" spans="1:4" s="376" customFormat="1" ht="94.5">
      <c r="A59" s="377"/>
      <c r="B59" s="378" t="s">
        <v>689</v>
      </c>
      <c r="C59" s="379" t="s">
        <v>890</v>
      </c>
      <c r="D59" s="380">
        <v>110.4</v>
      </c>
    </row>
    <row r="60" spans="1:4" s="376" customFormat="1" ht="173.25">
      <c r="A60" s="377"/>
      <c r="B60" s="378" t="s">
        <v>821</v>
      </c>
      <c r="C60" s="379" t="s">
        <v>891</v>
      </c>
      <c r="D60" s="380">
        <v>755.5</v>
      </c>
    </row>
    <row r="61" spans="1:4" s="376" customFormat="1" ht="12.75">
      <c r="A61" s="377"/>
      <c r="B61" s="378" t="s">
        <v>707</v>
      </c>
      <c r="C61" s="379" t="s">
        <v>892</v>
      </c>
      <c r="D61" s="380">
        <v>584.3</v>
      </c>
    </row>
    <row r="62" spans="1:5" ht="12.75">
      <c r="A62" s="391" t="s">
        <v>893</v>
      </c>
      <c r="B62" s="420" t="s">
        <v>894</v>
      </c>
      <c r="C62" s="420"/>
      <c r="D62" s="420"/>
      <c r="E62" s="392"/>
    </row>
    <row r="63" spans="1:5" ht="157.5">
      <c r="A63" s="393"/>
      <c r="B63" s="378" t="s">
        <v>895</v>
      </c>
      <c r="C63" s="379" t="s">
        <v>896</v>
      </c>
      <c r="D63" s="380">
        <v>65.6</v>
      </c>
      <c r="E63" s="392"/>
    </row>
    <row r="64" spans="1:4" s="376" customFormat="1" ht="12.75">
      <c r="A64" s="391" t="s">
        <v>897</v>
      </c>
      <c r="B64" s="421" t="s">
        <v>898</v>
      </c>
      <c r="C64" s="421"/>
      <c r="D64" s="421"/>
    </row>
    <row r="65" spans="1:4" s="376" customFormat="1" ht="78.75">
      <c r="A65" s="393"/>
      <c r="B65" s="378" t="s">
        <v>899</v>
      </c>
      <c r="C65" s="379" t="s">
        <v>900</v>
      </c>
      <c r="D65" s="380">
        <v>239.5</v>
      </c>
    </row>
    <row r="66" spans="1:4" s="376" customFormat="1" ht="63">
      <c r="A66" s="393"/>
      <c r="B66" s="378" t="s">
        <v>901</v>
      </c>
      <c r="C66" s="379" t="s">
        <v>902</v>
      </c>
      <c r="D66" s="380">
        <v>61.9</v>
      </c>
    </row>
    <row r="67" spans="1:4" s="376" customFormat="1" ht="63">
      <c r="A67" s="393"/>
      <c r="B67" s="378" t="s">
        <v>903</v>
      </c>
      <c r="C67" s="379" t="s">
        <v>904</v>
      </c>
      <c r="D67" s="380">
        <v>742.3</v>
      </c>
    </row>
    <row r="68" spans="1:4" s="376" customFormat="1" ht="63">
      <c r="A68" s="393"/>
      <c r="B68" s="394" t="s">
        <v>905</v>
      </c>
      <c r="C68" s="379" t="s">
        <v>906</v>
      </c>
      <c r="D68" s="395">
        <v>0.1</v>
      </c>
    </row>
    <row r="69" spans="1:4" s="376" customFormat="1" ht="173.25">
      <c r="A69" s="393"/>
      <c r="B69" s="394" t="s">
        <v>907</v>
      </c>
      <c r="C69" s="379" t="s">
        <v>908</v>
      </c>
      <c r="D69" s="395">
        <v>1200</v>
      </c>
    </row>
    <row r="70" spans="1:4" s="376" customFormat="1" ht="12.75">
      <c r="A70" s="391" t="s">
        <v>909</v>
      </c>
      <c r="B70" s="417" t="s">
        <v>910</v>
      </c>
      <c r="C70" s="418"/>
      <c r="D70" s="419"/>
    </row>
    <row r="71" spans="1:4" s="376" customFormat="1" ht="141.75">
      <c r="A71" s="393"/>
      <c r="B71" s="378" t="s">
        <v>911</v>
      </c>
      <c r="C71" s="379" t="s">
        <v>912</v>
      </c>
      <c r="D71" s="380">
        <v>2.8</v>
      </c>
    </row>
    <row r="72" spans="1:4" s="376" customFormat="1" ht="110.25">
      <c r="A72" s="393"/>
      <c r="B72" s="378" t="s">
        <v>913</v>
      </c>
      <c r="C72" s="379" t="s">
        <v>914</v>
      </c>
      <c r="D72" s="380">
        <v>2.2</v>
      </c>
    </row>
    <row r="73" spans="1:4" s="376" customFormat="1" ht="94.5">
      <c r="A73" s="393"/>
      <c r="B73" s="378" t="s">
        <v>915</v>
      </c>
      <c r="C73" s="379" t="s">
        <v>916</v>
      </c>
      <c r="D73" s="380">
        <v>2</v>
      </c>
    </row>
    <row r="74" spans="1:4" s="376" customFormat="1" ht="110.25">
      <c r="A74" s="393"/>
      <c r="B74" s="378" t="s">
        <v>917</v>
      </c>
      <c r="C74" s="379" t="s">
        <v>918</v>
      </c>
      <c r="D74" s="380">
        <v>0.5</v>
      </c>
    </row>
    <row r="75" spans="1:4" s="376" customFormat="1" ht="110.25">
      <c r="A75" s="393"/>
      <c r="B75" s="378" t="s">
        <v>919</v>
      </c>
      <c r="C75" s="379" t="s">
        <v>920</v>
      </c>
      <c r="D75" s="380">
        <v>10.6</v>
      </c>
    </row>
    <row r="76" spans="1:4" s="376" customFormat="1" ht="12.75">
      <c r="A76" s="391" t="s">
        <v>921</v>
      </c>
      <c r="B76" s="421" t="s">
        <v>922</v>
      </c>
      <c r="C76" s="421"/>
      <c r="D76" s="421"/>
    </row>
    <row r="77" spans="1:5" ht="126">
      <c r="A77" s="393"/>
      <c r="B77" s="378" t="s">
        <v>520</v>
      </c>
      <c r="C77" s="379" t="s">
        <v>923</v>
      </c>
      <c r="D77" s="321">
        <v>1301.2</v>
      </c>
      <c r="E77" s="392"/>
    </row>
    <row r="78" spans="1:5" ht="141.75">
      <c r="A78" s="393"/>
      <c r="B78" s="378" t="s">
        <v>524</v>
      </c>
      <c r="C78" s="379" t="s">
        <v>924</v>
      </c>
      <c r="D78" s="321">
        <v>9.3</v>
      </c>
      <c r="E78" s="392"/>
    </row>
    <row r="79" spans="1:5" ht="126">
      <c r="A79" s="393"/>
      <c r="B79" s="378" t="s">
        <v>528</v>
      </c>
      <c r="C79" s="379" t="s">
        <v>925</v>
      </c>
      <c r="D79" s="321">
        <v>1750.5</v>
      </c>
      <c r="E79" s="392"/>
    </row>
    <row r="80" spans="1:4" s="376" customFormat="1" ht="126">
      <c r="A80" s="396"/>
      <c r="B80" s="378" t="s">
        <v>926</v>
      </c>
      <c r="C80" s="379" t="s">
        <v>927</v>
      </c>
      <c r="D80" s="321">
        <v>-239.9</v>
      </c>
    </row>
    <row r="81" spans="1:4" s="376" customFormat="1" ht="12.75">
      <c r="A81" s="391" t="s">
        <v>928</v>
      </c>
      <c r="B81" s="421" t="s">
        <v>929</v>
      </c>
      <c r="C81" s="421"/>
      <c r="D81" s="421"/>
    </row>
    <row r="82" spans="1:4" s="376" customFormat="1" ht="157.5">
      <c r="A82" s="396"/>
      <c r="B82" s="378" t="s">
        <v>895</v>
      </c>
      <c r="C82" s="379" t="s">
        <v>930</v>
      </c>
      <c r="D82" s="380">
        <v>849.5</v>
      </c>
    </row>
    <row r="83" spans="1:4" s="376" customFormat="1" ht="12.75">
      <c r="A83" s="375" t="s">
        <v>931</v>
      </c>
      <c r="B83" s="421" t="s">
        <v>932</v>
      </c>
      <c r="C83" s="421"/>
      <c r="D83" s="421"/>
    </row>
    <row r="84" spans="1:4" ht="110.25">
      <c r="A84" s="393"/>
      <c r="B84" s="378" t="s">
        <v>933</v>
      </c>
      <c r="C84" s="379" t="s">
        <v>934</v>
      </c>
      <c r="D84" s="321">
        <v>238076.2</v>
      </c>
    </row>
    <row r="85" spans="1:4" ht="94.5">
      <c r="A85" s="393"/>
      <c r="B85" s="378" t="s">
        <v>935</v>
      </c>
      <c r="C85" s="379" t="s">
        <v>936</v>
      </c>
      <c r="D85" s="321">
        <v>295.4</v>
      </c>
    </row>
    <row r="86" spans="1:4" ht="126">
      <c r="A86" s="393"/>
      <c r="B86" s="378" t="s">
        <v>937</v>
      </c>
      <c r="C86" s="379" t="s">
        <v>938</v>
      </c>
      <c r="D86" s="321">
        <v>356.7</v>
      </c>
    </row>
    <row r="87" spans="1:4" ht="94.5">
      <c r="A87" s="393"/>
      <c r="B87" s="378" t="s">
        <v>939</v>
      </c>
      <c r="C87" s="379" t="s">
        <v>940</v>
      </c>
      <c r="D87" s="321">
        <v>0.1</v>
      </c>
    </row>
    <row r="88" spans="1:4" ht="157.5">
      <c r="A88" s="393"/>
      <c r="B88" s="378" t="s">
        <v>941</v>
      </c>
      <c r="C88" s="379" t="s">
        <v>942</v>
      </c>
      <c r="D88" s="321">
        <v>847.7</v>
      </c>
    </row>
    <row r="89" spans="1:4" ht="141.75">
      <c r="A89" s="393"/>
      <c r="B89" s="378" t="s">
        <v>943</v>
      </c>
      <c r="C89" s="379" t="s">
        <v>944</v>
      </c>
      <c r="D89" s="321">
        <v>8.6</v>
      </c>
    </row>
    <row r="90" spans="1:4" ht="157.5">
      <c r="A90" s="393"/>
      <c r="B90" s="378" t="s">
        <v>945</v>
      </c>
      <c r="C90" s="379" t="s">
        <v>946</v>
      </c>
      <c r="D90" s="321">
        <v>16.6</v>
      </c>
    </row>
    <row r="91" spans="1:4" ht="78.75">
      <c r="A91" s="393"/>
      <c r="B91" s="378" t="s">
        <v>947</v>
      </c>
      <c r="C91" s="379" t="s">
        <v>948</v>
      </c>
      <c r="D91" s="321">
        <v>2223.1</v>
      </c>
    </row>
    <row r="92" spans="1:4" ht="63">
      <c r="A92" s="393"/>
      <c r="B92" s="378" t="s">
        <v>949</v>
      </c>
      <c r="C92" s="379" t="s">
        <v>950</v>
      </c>
      <c r="D92" s="321">
        <v>22</v>
      </c>
    </row>
    <row r="93" spans="1:4" ht="94.5">
      <c r="A93" s="393"/>
      <c r="B93" s="378" t="s">
        <v>951</v>
      </c>
      <c r="C93" s="379" t="s">
        <v>952</v>
      </c>
      <c r="D93" s="321">
        <v>28.9</v>
      </c>
    </row>
    <row r="94" spans="1:4" ht="63">
      <c r="A94" s="393"/>
      <c r="B94" s="378" t="s">
        <v>953</v>
      </c>
      <c r="C94" s="379" t="s">
        <v>954</v>
      </c>
      <c r="D94" s="321">
        <v>0.7</v>
      </c>
    </row>
    <row r="95" spans="1:4" ht="63">
      <c r="A95" s="393"/>
      <c r="B95" s="378" t="s">
        <v>955</v>
      </c>
      <c r="C95" s="379" t="s">
        <v>956</v>
      </c>
      <c r="D95" s="380">
        <v>21442</v>
      </c>
    </row>
    <row r="96" spans="1:4" ht="31.5">
      <c r="A96" s="393"/>
      <c r="B96" s="378" t="s">
        <v>957</v>
      </c>
      <c r="C96" s="379" t="s">
        <v>958</v>
      </c>
      <c r="D96" s="380">
        <v>75.8</v>
      </c>
    </row>
    <row r="97" spans="1:4" ht="63">
      <c r="A97" s="393"/>
      <c r="B97" s="378" t="s">
        <v>959</v>
      </c>
      <c r="C97" s="379" t="s">
        <v>960</v>
      </c>
      <c r="D97" s="380">
        <v>58.1</v>
      </c>
    </row>
    <row r="98" spans="1:4" ht="31.5">
      <c r="A98" s="393"/>
      <c r="B98" s="378" t="s">
        <v>961</v>
      </c>
      <c r="C98" s="379" t="s">
        <v>962</v>
      </c>
      <c r="D98" s="380">
        <v>7.5</v>
      </c>
    </row>
    <row r="99" spans="1:4" ht="78.75">
      <c r="A99" s="393"/>
      <c r="B99" s="378" t="s">
        <v>963</v>
      </c>
      <c r="C99" s="379" t="s">
        <v>964</v>
      </c>
      <c r="D99" s="380">
        <v>5615.1</v>
      </c>
    </row>
    <row r="100" spans="1:4" ht="47.25">
      <c r="A100" s="393"/>
      <c r="B100" s="378" t="s">
        <v>965</v>
      </c>
      <c r="C100" s="379" t="s">
        <v>966</v>
      </c>
      <c r="D100" s="380">
        <v>7.9</v>
      </c>
    </row>
    <row r="101" spans="1:4" ht="78.75">
      <c r="A101" s="393"/>
      <c r="B101" s="378" t="s">
        <v>967</v>
      </c>
      <c r="C101" s="379" t="s">
        <v>968</v>
      </c>
      <c r="D101" s="380">
        <v>18150.6</v>
      </c>
    </row>
    <row r="102" spans="1:4" ht="63">
      <c r="A102" s="393"/>
      <c r="B102" s="378" t="s">
        <v>969</v>
      </c>
      <c r="C102" s="379" t="s">
        <v>970</v>
      </c>
      <c r="D102" s="380">
        <v>264.7</v>
      </c>
    </row>
    <row r="103" spans="1:4" ht="78.75">
      <c r="A103" s="393"/>
      <c r="B103" s="378" t="s">
        <v>971</v>
      </c>
      <c r="C103" s="379" t="s">
        <v>972</v>
      </c>
      <c r="D103" s="380">
        <v>33703.6</v>
      </c>
    </row>
    <row r="104" spans="1:4" ht="47.25">
      <c r="A104" s="393"/>
      <c r="B104" s="378" t="s">
        <v>973</v>
      </c>
      <c r="C104" s="379" t="s">
        <v>974</v>
      </c>
      <c r="D104" s="380">
        <v>332.8</v>
      </c>
    </row>
    <row r="105" spans="1:4" ht="78.75">
      <c r="A105" s="393"/>
      <c r="B105" s="378" t="s">
        <v>975</v>
      </c>
      <c r="C105" s="379" t="s">
        <v>976</v>
      </c>
      <c r="D105" s="380">
        <v>8.9</v>
      </c>
    </row>
    <row r="106" spans="1:4" ht="78.75">
      <c r="A106" s="393"/>
      <c r="B106" s="378" t="s">
        <v>977</v>
      </c>
      <c r="C106" s="379" t="s">
        <v>978</v>
      </c>
      <c r="D106" s="380">
        <v>8507.5</v>
      </c>
    </row>
    <row r="107" spans="1:4" ht="47.25">
      <c r="A107" s="393"/>
      <c r="B107" s="378" t="s">
        <v>979</v>
      </c>
      <c r="C107" s="379" t="s">
        <v>980</v>
      </c>
      <c r="D107" s="380">
        <v>109.6</v>
      </c>
    </row>
    <row r="108" spans="1:4" ht="94.5">
      <c r="A108" s="393"/>
      <c r="B108" s="378" t="s">
        <v>981</v>
      </c>
      <c r="C108" s="379" t="s">
        <v>982</v>
      </c>
      <c r="D108" s="380">
        <v>6666.7</v>
      </c>
    </row>
    <row r="109" spans="1:4" ht="157.5">
      <c r="A109" s="393"/>
      <c r="B109" s="378" t="s">
        <v>895</v>
      </c>
      <c r="C109" s="379" t="s">
        <v>983</v>
      </c>
      <c r="D109" s="380">
        <v>-20</v>
      </c>
    </row>
    <row r="110" spans="1:4" ht="78.75">
      <c r="A110" s="393"/>
      <c r="B110" s="378" t="s">
        <v>695</v>
      </c>
      <c r="C110" s="379" t="s">
        <v>984</v>
      </c>
      <c r="D110" s="380">
        <v>122.6</v>
      </c>
    </row>
    <row r="111" spans="1:4" s="376" customFormat="1" ht="12.75">
      <c r="A111" s="391" t="s">
        <v>985</v>
      </c>
      <c r="B111" s="421" t="s">
        <v>986</v>
      </c>
      <c r="C111" s="421"/>
      <c r="D111" s="421"/>
    </row>
    <row r="112" spans="1:4" ht="157.5">
      <c r="A112" s="393"/>
      <c r="B112" s="378" t="s">
        <v>895</v>
      </c>
      <c r="C112" s="379" t="s">
        <v>987</v>
      </c>
      <c r="D112" s="380">
        <v>959.9</v>
      </c>
    </row>
    <row r="113" spans="1:4" s="376" customFormat="1" ht="22.15" customHeight="1">
      <c r="A113" s="391" t="s">
        <v>988</v>
      </c>
      <c r="B113" s="420" t="s">
        <v>989</v>
      </c>
      <c r="C113" s="420"/>
      <c r="D113" s="420"/>
    </row>
    <row r="114" spans="1:5" ht="157.5">
      <c r="A114" s="393"/>
      <c r="B114" s="378" t="s">
        <v>895</v>
      </c>
      <c r="C114" s="379" t="s">
        <v>990</v>
      </c>
      <c r="D114" s="380">
        <v>5</v>
      </c>
      <c r="E114" s="392"/>
    </row>
    <row r="115" spans="1:4" ht="12.75">
      <c r="A115" s="391" t="s">
        <v>991</v>
      </c>
      <c r="B115" s="417" t="s">
        <v>992</v>
      </c>
      <c r="C115" s="418"/>
      <c r="D115" s="419"/>
    </row>
    <row r="116" spans="1:5" ht="126">
      <c r="A116" s="393"/>
      <c r="B116" s="378" t="s">
        <v>993</v>
      </c>
      <c r="C116" s="379" t="s">
        <v>994</v>
      </c>
      <c r="D116" s="380">
        <v>35</v>
      </c>
      <c r="E116" s="397"/>
    </row>
    <row r="117" spans="1:4" ht="94.5">
      <c r="A117" s="393"/>
      <c r="B117" s="378" t="s">
        <v>995</v>
      </c>
      <c r="C117" s="379" t="s">
        <v>996</v>
      </c>
      <c r="D117" s="380">
        <v>5</v>
      </c>
    </row>
    <row r="118" spans="1:4" ht="204.75">
      <c r="A118" s="393"/>
      <c r="B118" s="378" t="s">
        <v>997</v>
      </c>
      <c r="C118" s="379" t="s">
        <v>998</v>
      </c>
      <c r="D118" s="380">
        <v>6</v>
      </c>
    </row>
    <row r="119" spans="1:4" ht="110.25">
      <c r="A119" s="393"/>
      <c r="B119" s="378" t="s">
        <v>999</v>
      </c>
      <c r="C119" s="379" t="s">
        <v>1000</v>
      </c>
      <c r="D119" s="380">
        <v>5</v>
      </c>
    </row>
    <row r="120" spans="1:4" ht="110.25">
      <c r="A120" s="393"/>
      <c r="B120" s="378" t="s">
        <v>1001</v>
      </c>
      <c r="C120" s="379" t="s">
        <v>1002</v>
      </c>
      <c r="D120" s="380">
        <v>0.8</v>
      </c>
    </row>
    <row r="121" spans="1:4" ht="126">
      <c r="A121" s="393"/>
      <c r="B121" s="378" t="s">
        <v>1003</v>
      </c>
      <c r="C121" s="379" t="s">
        <v>1004</v>
      </c>
      <c r="D121" s="380">
        <v>10</v>
      </c>
    </row>
    <row r="122" spans="1:4" ht="94.5">
      <c r="A122" s="393"/>
      <c r="B122" s="378" t="s">
        <v>915</v>
      </c>
      <c r="C122" s="379" t="s">
        <v>1005</v>
      </c>
      <c r="D122" s="380">
        <v>6.5</v>
      </c>
    </row>
    <row r="123" spans="1:4" ht="141.75">
      <c r="A123" s="393"/>
      <c r="B123" s="378" t="s">
        <v>1006</v>
      </c>
      <c r="C123" s="379" t="s">
        <v>1007</v>
      </c>
      <c r="D123" s="380">
        <v>60.2</v>
      </c>
    </row>
    <row r="124" spans="1:4" ht="94.5">
      <c r="A124" s="393"/>
      <c r="B124" s="378" t="s">
        <v>1008</v>
      </c>
      <c r="C124" s="379" t="s">
        <v>1009</v>
      </c>
      <c r="D124" s="380">
        <v>15</v>
      </c>
    </row>
    <row r="125" spans="1:4" ht="94.5">
      <c r="A125" s="393"/>
      <c r="B125" s="378" t="s">
        <v>1010</v>
      </c>
      <c r="C125" s="379" t="s">
        <v>1011</v>
      </c>
      <c r="D125" s="380">
        <v>0.5</v>
      </c>
    </row>
    <row r="126" spans="1:4" ht="126">
      <c r="A126" s="393"/>
      <c r="B126" s="378" t="s">
        <v>1012</v>
      </c>
      <c r="C126" s="379" t="s">
        <v>1013</v>
      </c>
      <c r="D126" s="380">
        <v>0.8</v>
      </c>
    </row>
    <row r="127" spans="1:4" ht="94.5">
      <c r="A127" s="393"/>
      <c r="B127" s="378" t="s">
        <v>1014</v>
      </c>
      <c r="C127" s="379" t="s">
        <v>1015</v>
      </c>
      <c r="D127" s="380">
        <v>0.7</v>
      </c>
    </row>
    <row r="128" spans="1:4" ht="94.5">
      <c r="A128" s="393"/>
      <c r="B128" s="378" t="s">
        <v>1016</v>
      </c>
      <c r="C128" s="379" t="s">
        <v>1017</v>
      </c>
      <c r="D128" s="380">
        <v>4.3</v>
      </c>
    </row>
    <row r="129" spans="1:4" ht="141.75">
      <c r="A129" s="393"/>
      <c r="B129" s="378" t="s">
        <v>1018</v>
      </c>
      <c r="C129" s="379" t="s">
        <v>1019</v>
      </c>
      <c r="D129" s="380">
        <v>47.5</v>
      </c>
    </row>
    <row r="130" spans="1:4" ht="110.25">
      <c r="A130" s="393"/>
      <c r="B130" s="378" t="s">
        <v>1020</v>
      </c>
      <c r="C130" s="379" t="s">
        <v>1021</v>
      </c>
      <c r="D130" s="380">
        <v>10.2</v>
      </c>
    </row>
    <row r="131" spans="1:4" ht="157.5">
      <c r="A131" s="393"/>
      <c r="B131" s="378" t="s">
        <v>1022</v>
      </c>
      <c r="C131" s="379" t="s">
        <v>1023</v>
      </c>
      <c r="D131" s="380">
        <v>0.2</v>
      </c>
    </row>
    <row r="132" spans="1:4" ht="157.5">
      <c r="A132" s="393"/>
      <c r="B132" s="378" t="s">
        <v>1024</v>
      </c>
      <c r="C132" s="379" t="s">
        <v>1025</v>
      </c>
      <c r="D132" s="380">
        <v>0.6</v>
      </c>
    </row>
    <row r="133" spans="1:4" ht="220.5">
      <c r="A133" s="393"/>
      <c r="B133" s="378" t="s">
        <v>1026</v>
      </c>
      <c r="C133" s="379" t="s">
        <v>1027</v>
      </c>
      <c r="D133" s="380">
        <v>5</v>
      </c>
    </row>
    <row r="134" spans="1:4" ht="141.75">
      <c r="A134" s="393"/>
      <c r="B134" s="378" t="s">
        <v>1028</v>
      </c>
      <c r="C134" s="379" t="s">
        <v>1029</v>
      </c>
      <c r="D134" s="380">
        <v>14.7</v>
      </c>
    </row>
    <row r="135" spans="1:4" ht="157.5">
      <c r="A135" s="393"/>
      <c r="B135" s="378" t="s">
        <v>1030</v>
      </c>
      <c r="C135" s="379" t="s">
        <v>1031</v>
      </c>
      <c r="D135" s="380">
        <v>8.2</v>
      </c>
    </row>
    <row r="136" spans="1:4" ht="173.25">
      <c r="A136" s="393"/>
      <c r="B136" s="378" t="s">
        <v>1032</v>
      </c>
      <c r="C136" s="379" t="s">
        <v>1033</v>
      </c>
      <c r="D136" s="380">
        <v>2.5</v>
      </c>
    </row>
    <row r="137" spans="1:4" ht="94.5">
      <c r="A137" s="393"/>
      <c r="B137" s="378" t="s">
        <v>1034</v>
      </c>
      <c r="C137" s="379" t="s">
        <v>1035</v>
      </c>
      <c r="D137" s="380">
        <v>4.2</v>
      </c>
    </row>
    <row r="138" spans="1:4" ht="204.75">
      <c r="A138" s="393"/>
      <c r="B138" s="378" t="s">
        <v>1036</v>
      </c>
      <c r="C138" s="379" t="s">
        <v>1037</v>
      </c>
      <c r="D138" s="380">
        <v>145.5</v>
      </c>
    </row>
    <row r="139" spans="1:4" ht="110.25">
      <c r="A139" s="393"/>
      <c r="B139" s="378" t="s">
        <v>1038</v>
      </c>
      <c r="C139" s="379" t="s">
        <v>1037</v>
      </c>
      <c r="D139" s="380">
        <v>10</v>
      </c>
    </row>
    <row r="140" spans="1:4" ht="141.75">
      <c r="A140" s="393"/>
      <c r="B140" s="378" t="s">
        <v>1039</v>
      </c>
      <c r="C140" s="379" t="s">
        <v>1037</v>
      </c>
      <c r="D140" s="380">
        <v>3</v>
      </c>
    </row>
    <row r="141" spans="1:4" ht="110.25">
      <c r="A141" s="393"/>
      <c r="B141" s="378" t="s">
        <v>1040</v>
      </c>
      <c r="C141" s="379" t="s">
        <v>1037</v>
      </c>
      <c r="D141" s="380">
        <v>0.5</v>
      </c>
    </row>
    <row r="142" spans="1:4" ht="157.5">
      <c r="A142" s="393"/>
      <c r="B142" s="378" t="s">
        <v>1041</v>
      </c>
      <c r="C142" s="379" t="s">
        <v>1037</v>
      </c>
      <c r="D142" s="380">
        <v>105</v>
      </c>
    </row>
    <row r="143" spans="1:4" ht="173.25">
      <c r="A143" s="393"/>
      <c r="B143" s="378" t="s">
        <v>1042</v>
      </c>
      <c r="C143" s="379" t="s">
        <v>1037</v>
      </c>
      <c r="D143" s="380">
        <v>10</v>
      </c>
    </row>
    <row r="144" spans="1:4" ht="94.5">
      <c r="A144" s="393"/>
      <c r="B144" s="378" t="s">
        <v>1043</v>
      </c>
      <c r="C144" s="379" t="s">
        <v>1037</v>
      </c>
      <c r="D144" s="380">
        <v>46</v>
      </c>
    </row>
    <row r="145" spans="1:4" ht="126">
      <c r="A145" s="393"/>
      <c r="B145" s="378" t="s">
        <v>1044</v>
      </c>
      <c r="C145" s="379" t="s">
        <v>1045</v>
      </c>
      <c r="D145" s="380">
        <v>5</v>
      </c>
    </row>
    <row r="146" spans="1:4" ht="126">
      <c r="A146" s="393"/>
      <c r="B146" s="378" t="s">
        <v>1046</v>
      </c>
      <c r="C146" s="379" t="s">
        <v>1045</v>
      </c>
      <c r="D146" s="380">
        <v>5</v>
      </c>
    </row>
    <row r="147" spans="1:4" ht="283.5">
      <c r="A147" s="393"/>
      <c r="B147" s="378" t="s">
        <v>1047</v>
      </c>
      <c r="C147" s="379" t="s">
        <v>1045</v>
      </c>
      <c r="D147" s="380">
        <v>2</v>
      </c>
    </row>
    <row r="148" spans="1:4" ht="141.75">
      <c r="A148" s="393"/>
      <c r="B148" s="378" t="s">
        <v>1048</v>
      </c>
      <c r="C148" s="379" t="s">
        <v>1045</v>
      </c>
      <c r="D148" s="380">
        <v>20</v>
      </c>
    </row>
    <row r="149" spans="1:4" ht="110.25">
      <c r="A149" s="393"/>
      <c r="B149" s="378" t="s">
        <v>917</v>
      </c>
      <c r="C149" s="379" t="s">
        <v>1045</v>
      </c>
      <c r="D149" s="380">
        <v>1.4</v>
      </c>
    </row>
    <row r="150" spans="1:4" ht="110.25">
      <c r="A150" s="393"/>
      <c r="B150" s="378" t="s">
        <v>919</v>
      </c>
      <c r="C150" s="379" t="s">
        <v>1045</v>
      </c>
      <c r="D150" s="380">
        <v>157.1</v>
      </c>
    </row>
  </sheetData>
  <mergeCells count="20">
    <mergeCell ref="B115:D115"/>
    <mergeCell ref="B9:D9"/>
    <mergeCell ref="B16:D16"/>
    <mergeCell ref="B49:D49"/>
    <mergeCell ref="B62:D62"/>
    <mergeCell ref="B64:D64"/>
    <mergeCell ref="B70:D70"/>
    <mergeCell ref="B76:D76"/>
    <mergeCell ref="B81:D81"/>
    <mergeCell ref="B83:D83"/>
    <mergeCell ref="B111:D111"/>
    <mergeCell ref="B113:D113"/>
    <mergeCell ref="B1:D1"/>
    <mergeCell ref="B2:D2"/>
    <mergeCell ref="B3:D3"/>
    <mergeCell ref="A5:D5"/>
    <mergeCell ref="A7:A8"/>
    <mergeCell ref="B7:B8"/>
    <mergeCell ref="C7:C8"/>
    <mergeCell ref="D7:D8"/>
  </mergeCells>
  <printOptions/>
  <pageMargins left="0.7874015748031497" right="0.1968503937007874" top="0.1968503937007874" bottom="0.1968503937007874" header="0.11811023622047245" footer="0.11811023622047245"/>
  <pageSetup fitToHeight="0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view="pageBreakPreview" zoomScale="60" workbookViewId="0" topLeftCell="A1">
      <selection activeCell="A1" sqref="A1:D1"/>
    </sheetView>
  </sheetViews>
  <sheetFormatPr defaultColWidth="8.875" defaultRowHeight="12.75"/>
  <cols>
    <col min="1" max="1" width="6.625" style="14" customWidth="1"/>
    <col min="2" max="2" width="76.375" style="14" customWidth="1"/>
    <col min="3" max="3" width="13.00390625" style="14" customWidth="1"/>
    <col min="4" max="4" width="12.00390625" style="14" customWidth="1"/>
    <col min="5" max="16384" width="8.875" style="3" customWidth="1"/>
  </cols>
  <sheetData>
    <row r="1" spans="1:4" ht="55.5" customHeight="1">
      <c r="A1" s="423" t="s">
        <v>1059</v>
      </c>
      <c r="B1" s="423"/>
      <c r="C1" s="423"/>
      <c r="D1" s="423"/>
    </row>
    <row r="2" spans="1:4" ht="51" customHeight="1">
      <c r="A2" s="422" t="s">
        <v>471</v>
      </c>
      <c r="B2" s="422"/>
      <c r="C2" s="422"/>
      <c r="D2" s="422"/>
    </row>
    <row r="3" spans="1:4" ht="21" customHeight="1">
      <c r="A3" s="271"/>
      <c r="B3" s="271"/>
      <c r="C3" s="271"/>
      <c r="D3" s="272" t="s">
        <v>472</v>
      </c>
    </row>
    <row r="4" spans="1:4" ht="47.25">
      <c r="A4" s="264" t="s">
        <v>38</v>
      </c>
      <c r="B4" s="264" t="s">
        <v>20</v>
      </c>
      <c r="C4" s="262" t="s">
        <v>457</v>
      </c>
      <c r="D4" s="11" t="s">
        <v>458</v>
      </c>
    </row>
    <row r="5" spans="1:4" ht="12.75">
      <c r="A5" s="263" t="s">
        <v>4</v>
      </c>
      <c r="B5" s="263" t="s">
        <v>80</v>
      </c>
      <c r="C5" s="263" t="s">
        <v>81</v>
      </c>
      <c r="D5" s="263" t="s">
        <v>82</v>
      </c>
    </row>
    <row r="6" spans="1:4" ht="12.75">
      <c r="A6" s="4" t="s">
        <v>69</v>
      </c>
      <c r="B6" s="24" t="s">
        <v>61</v>
      </c>
      <c r="C6" s="6">
        <f>C7+C17+C20+C24+C28+C35+C37+C41+C44+C46</f>
        <v>958698.5000000002</v>
      </c>
      <c r="D6" s="6">
        <f>D7+D17+D20+D24+D28+D35+D37+D41+D44+D46</f>
        <v>940575.0000000002</v>
      </c>
    </row>
    <row r="7" spans="1:4" ht="12.75">
      <c r="A7" s="4" t="s">
        <v>57</v>
      </c>
      <c r="B7" s="20" t="s">
        <v>22</v>
      </c>
      <c r="C7" s="6">
        <f>SUM(C8:C16)</f>
        <v>75280.29999999999</v>
      </c>
      <c r="D7" s="6">
        <f>SUM(D8:D16)</f>
        <v>73470.3</v>
      </c>
    </row>
    <row r="8" spans="1:4" ht="34.15" customHeight="1">
      <c r="A8" s="26" t="s">
        <v>45</v>
      </c>
      <c r="B8" s="13" t="s">
        <v>62</v>
      </c>
      <c r="C8" s="7">
        <f>'№ 7'!E7</f>
        <v>1787.6</v>
      </c>
      <c r="D8" s="7">
        <f>'№ 7'!F7</f>
        <v>1787.6</v>
      </c>
    </row>
    <row r="9" spans="1:4" ht="47.25">
      <c r="A9" s="26" t="s">
        <v>46</v>
      </c>
      <c r="B9" s="13" t="s">
        <v>23</v>
      </c>
      <c r="C9" s="7">
        <f>'№ 7'!E13</f>
        <v>2790.3</v>
      </c>
      <c r="D9" s="7">
        <f>'№ 7'!F13</f>
        <v>2769.1</v>
      </c>
    </row>
    <row r="10" spans="1:4" ht="49.15" customHeight="1">
      <c r="A10" s="26" t="s">
        <v>47</v>
      </c>
      <c r="B10" s="13" t="s">
        <v>24</v>
      </c>
      <c r="C10" s="7">
        <f>'№ 7'!E22</f>
        <v>22447.3</v>
      </c>
      <c r="D10" s="7">
        <f>'№ 7'!F22</f>
        <v>22447.3</v>
      </c>
    </row>
    <row r="11" spans="1:4" ht="15.6" customHeight="1">
      <c r="A11" s="15" t="s">
        <v>171</v>
      </c>
      <c r="B11" s="8" t="s">
        <v>172</v>
      </c>
      <c r="C11" s="7">
        <f>'№ 7'!E39</f>
        <v>28.9</v>
      </c>
      <c r="D11" s="7">
        <f>'№ 7'!F39</f>
        <v>0</v>
      </c>
    </row>
    <row r="12" spans="1:7" ht="31.5" customHeight="1">
      <c r="A12" s="26" t="s">
        <v>48</v>
      </c>
      <c r="B12" s="13" t="s">
        <v>8</v>
      </c>
      <c r="C12" s="7">
        <f>'№ 7'!E45</f>
        <v>7279.299999999999</v>
      </c>
      <c r="D12" s="7">
        <f>'№ 7'!F45</f>
        <v>7279.3</v>
      </c>
      <c r="G12" s="49"/>
    </row>
    <row r="13" spans="1:7" ht="12.75">
      <c r="A13" s="15" t="s">
        <v>337</v>
      </c>
      <c r="B13" s="50" t="s">
        <v>338</v>
      </c>
      <c r="C13" s="7">
        <f>'№ 7'!E54</f>
        <v>2175</v>
      </c>
      <c r="D13" s="7">
        <f>'№ 7'!F54</f>
        <v>2175</v>
      </c>
      <c r="G13" s="49"/>
    </row>
    <row r="14" spans="1:4" ht="19.15" customHeight="1">
      <c r="A14" s="15" t="s">
        <v>245</v>
      </c>
      <c r="B14" s="72" t="s">
        <v>246</v>
      </c>
      <c r="C14" s="7">
        <f>'№ 7'!E60</f>
        <v>88.6</v>
      </c>
      <c r="D14" s="7">
        <f>'№ 7'!F60</f>
        <v>88.6</v>
      </c>
    </row>
    <row r="15" spans="1:4" ht="12.75">
      <c r="A15" s="26" t="s">
        <v>49</v>
      </c>
      <c r="B15" s="13" t="s">
        <v>9</v>
      </c>
      <c r="C15" s="7">
        <f>'№ 7'!E67</f>
        <v>363</v>
      </c>
      <c r="D15" s="7">
        <f>'№ 7'!F67</f>
        <v>0</v>
      </c>
    </row>
    <row r="16" spans="1:4" ht="12.75">
      <c r="A16" s="26" t="s">
        <v>63</v>
      </c>
      <c r="B16" s="13" t="s">
        <v>25</v>
      </c>
      <c r="C16" s="7">
        <f>'№ 7'!E73</f>
        <v>38320.299999999996</v>
      </c>
      <c r="D16" s="7">
        <f>'№ 7'!F73</f>
        <v>36923.4</v>
      </c>
    </row>
    <row r="17" spans="1:4" ht="16.5" customHeight="1">
      <c r="A17" s="4" t="s">
        <v>58</v>
      </c>
      <c r="B17" s="20" t="s">
        <v>26</v>
      </c>
      <c r="C17" s="6">
        <f>C18+C19</f>
        <v>10010.8</v>
      </c>
      <c r="D17" s="6">
        <f aca="true" t="shared" si="0" ref="D17">D18+D19</f>
        <v>10010.8</v>
      </c>
    </row>
    <row r="18" spans="1:4" ht="12.75">
      <c r="A18" s="26" t="s">
        <v>78</v>
      </c>
      <c r="B18" s="13" t="s">
        <v>79</v>
      </c>
      <c r="C18" s="7">
        <f>'№ 7'!E156</f>
        <v>2274.5999999999995</v>
      </c>
      <c r="D18" s="7">
        <f>'№ 7'!F156</f>
        <v>2274.6</v>
      </c>
    </row>
    <row r="19" spans="1:4" ht="31.5">
      <c r="A19" s="15" t="s">
        <v>50</v>
      </c>
      <c r="B19" s="13" t="s">
        <v>16</v>
      </c>
      <c r="C19" s="7">
        <f>'№ 7'!E171</f>
        <v>7736.2</v>
      </c>
      <c r="D19" s="7">
        <f>'№ 7'!F171</f>
        <v>7736.2</v>
      </c>
    </row>
    <row r="20" spans="1:4" ht="16.15" customHeight="1">
      <c r="A20" s="4" t="s">
        <v>59</v>
      </c>
      <c r="B20" s="20" t="s">
        <v>27</v>
      </c>
      <c r="C20" s="6">
        <f>C22+C23+C21</f>
        <v>92975.9</v>
      </c>
      <c r="D20" s="6">
        <f aca="true" t="shared" si="1" ref="D20">D22+D23+D21</f>
        <v>92551</v>
      </c>
    </row>
    <row r="21" spans="1:4" ht="12.75">
      <c r="A21" s="15" t="s">
        <v>100</v>
      </c>
      <c r="B21" s="13" t="s">
        <v>101</v>
      </c>
      <c r="C21" s="7">
        <f>'№ 7'!E179</f>
        <v>475.8</v>
      </c>
      <c r="D21" s="7">
        <f>'№ 7'!F179</f>
        <v>475.8</v>
      </c>
    </row>
    <row r="22" spans="1:4" ht="12.75">
      <c r="A22" s="26" t="s">
        <v>7</v>
      </c>
      <c r="B22" s="13" t="s">
        <v>90</v>
      </c>
      <c r="C22" s="7">
        <f>'№ 7'!E186</f>
        <v>90042.09999999999</v>
      </c>
      <c r="D22" s="7">
        <f>'№ 7'!F186</f>
        <v>89639.8</v>
      </c>
    </row>
    <row r="23" spans="1:4" ht="12.75">
      <c r="A23" s="26" t="s">
        <v>51</v>
      </c>
      <c r="B23" s="13" t="s">
        <v>28</v>
      </c>
      <c r="C23" s="7">
        <f>'№ 7'!E237</f>
        <v>2458</v>
      </c>
      <c r="D23" s="7">
        <f>'№ 7'!F237</f>
        <v>2435.4</v>
      </c>
    </row>
    <row r="24" spans="1:4" ht="12.75">
      <c r="A24" s="4" t="s">
        <v>60</v>
      </c>
      <c r="B24" s="20" t="s">
        <v>29</v>
      </c>
      <c r="C24" s="6">
        <f>C25+C27+C26</f>
        <v>41884.700000000004</v>
      </c>
      <c r="D24" s="6">
        <f aca="true" t="shared" si="2" ref="D24">D25+D27+D26</f>
        <v>41835.700000000004</v>
      </c>
    </row>
    <row r="25" spans="1:4" ht="12.75">
      <c r="A25" s="26" t="s">
        <v>5</v>
      </c>
      <c r="B25" s="13" t="s">
        <v>6</v>
      </c>
      <c r="C25" s="7">
        <f>'№ 7'!E250</f>
        <v>2549</v>
      </c>
      <c r="D25" s="7">
        <f>'№ 7'!F250</f>
        <v>2549</v>
      </c>
    </row>
    <row r="26" spans="1:4" ht="12.75">
      <c r="A26" s="15" t="s">
        <v>293</v>
      </c>
      <c r="B26" s="104" t="s">
        <v>294</v>
      </c>
      <c r="C26" s="7">
        <f>'№ 7'!E257</f>
        <v>2359</v>
      </c>
      <c r="D26" s="7">
        <f>'№ 7'!F257</f>
        <v>2357</v>
      </c>
    </row>
    <row r="27" spans="1:4" ht="12.75">
      <c r="A27" s="26" t="s">
        <v>52</v>
      </c>
      <c r="B27" s="13" t="s">
        <v>30</v>
      </c>
      <c r="C27" s="7">
        <f>'№ 7'!E268</f>
        <v>36976.700000000004</v>
      </c>
      <c r="D27" s="7">
        <f>'№ 7'!F268</f>
        <v>36929.700000000004</v>
      </c>
    </row>
    <row r="28" spans="1:4" ht="12.75">
      <c r="A28" s="4" t="s">
        <v>39</v>
      </c>
      <c r="B28" s="5" t="s">
        <v>31</v>
      </c>
      <c r="C28" s="6">
        <f>C29+C30+C31+C33+C34+C32</f>
        <v>633762.3000000002</v>
      </c>
      <c r="D28" s="6">
        <f aca="true" t="shared" si="3" ref="D28">D29+D30+D31+D33+D34+D32</f>
        <v>620534.8000000002</v>
      </c>
    </row>
    <row r="29" spans="1:4" ht="12.75">
      <c r="A29" s="26" t="s">
        <v>53</v>
      </c>
      <c r="B29" s="13" t="s">
        <v>11</v>
      </c>
      <c r="C29" s="7">
        <f>'№ 7'!E323</f>
        <v>321778.69999999995</v>
      </c>
      <c r="D29" s="7">
        <f>'№ 7'!F323</f>
        <v>311110.6</v>
      </c>
    </row>
    <row r="30" spans="1:4" ht="12.75">
      <c r="A30" s="15" t="s">
        <v>54</v>
      </c>
      <c r="B30" s="13" t="s">
        <v>12</v>
      </c>
      <c r="C30" s="7">
        <f>'№ 7'!E364</f>
        <v>271114.60000000003</v>
      </c>
      <c r="D30" s="7">
        <f>'№ 7'!F364</f>
        <v>268610.70000000007</v>
      </c>
    </row>
    <row r="31" spans="1:4" ht="12.75">
      <c r="A31" s="15" t="s">
        <v>91</v>
      </c>
      <c r="B31" s="13" t="s">
        <v>92</v>
      </c>
      <c r="C31" s="7">
        <f>'№ 7'!E422</f>
        <v>34185.799999999996</v>
      </c>
      <c r="D31" s="7">
        <f>'№ 7'!F422</f>
        <v>34185.799999999996</v>
      </c>
    </row>
    <row r="32" spans="1:4" ht="21.6" customHeight="1">
      <c r="A32" s="15" t="s">
        <v>226</v>
      </c>
      <c r="B32" s="13" t="s">
        <v>259</v>
      </c>
      <c r="C32" s="7">
        <f>'№ 7'!E450</f>
        <v>144.6</v>
      </c>
      <c r="D32" s="7">
        <f>'№ 7'!F450</f>
        <v>134.6</v>
      </c>
    </row>
    <row r="33" spans="1:4" ht="12.75">
      <c r="A33" s="15" t="s">
        <v>40</v>
      </c>
      <c r="B33" s="13" t="s">
        <v>99</v>
      </c>
      <c r="C33" s="7">
        <f>'№ 7'!E457</f>
        <v>374.29999999999995</v>
      </c>
      <c r="D33" s="7">
        <f>'№ 7'!F457</f>
        <v>328.8</v>
      </c>
    </row>
    <row r="34" spans="1:4" ht="12.75">
      <c r="A34" s="15" t="s">
        <v>55</v>
      </c>
      <c r="B34" s="13" t="s">
        <v>13</v>
      </c>
      <c r="C34" s="7">
        <f>'№ 7'!E482</f>
        <v>6164.299999999999</v>
      </c>
      <c r="D34" s="7">
        <f>'№ 7'!F482</f>
        <v>6164.3</v>
      </c>
    </row>
    <row r="35" spans="1:4" ht="12.75">
      <c r="A35" s="4" t="s">
        <v>43</v>
      </c>
      <c r="B35" s="20" t="s">
        <v>85</v>
      </c>
      <c r="C35" s="6">
        <f>C36</f>
        <v>41375</v>
      </c>
      <c r="D35" s="6">
        <f aca="true" t="shared" si="4" ref="D35">D36</f>
        <v>41375</v>
      </c>
    </row>
    <row r="36" spans="1:4" ht="12.75">
      <c r="A36" s="26" t="s">
        <v>44</v>
      </c>
      <c r="B36" s="13" t="s">
        <v>14</v>
      </c>
      <c r="C36" s="7">
        <f>'№ 7'!E502</f>
        <v>41375</v>
      </c>
      <c r="D36" s="7">
        <f>'№ 7'!F502</f>
        <v>41375</v>
      </c>
    </row>
    <row r="37" spans="1:4" ht="12.75">
      <c r="A37" s="4" t="s">
        <v>41</v>
      </c>
      <c r="B37" s="20" t="s">
        <v>33</v>
      </c>
      <c r="C37" s="6">
        <f>C38+C39+C40</f>
        <v>29965.5</v>
      </c>
      <c r="D37" s="6">
        <f aca="true" t="shared" si="5" ref="D37">D38+D39+D40</f>
        <v>27367.9</v>
      </c>
    </row>
    <row r="38" spans="1:4" ht="12.75">
      <c r="A38" s="136" t="s">
        <v>56</v>
      </c>
      <c r="B38" s="80" t="s">
        <v>34</v>
      </c>
      <c r="C38" s="7">
        <f>'№ 7'!E545</f>
        <v>917.5</v>
      </c>
      <c r="D38" s="7">
        <f>'№ 7'!F545</f>
        <v>917.5</v>
      </c>
    </row>
    <row r="39" spans="1:4" ht="12.75">
      <c r="A39" s="137" t="s">
        <v>42</v>
      </c>
      <c r="B39" s="63" t="s">
        <v>36</v>
      </c>
      <c r="C39" s="143">
        <f>'№ 7'!E552</f>
        <v>741</v>
      </c>
      <c r="D39" s="143">
        <f>'№ 7'!F552</f>
        <v>736</v>
      </c>
    </row>
    <row r="40" spans="1:4" ht="12.75">
      <c r="A40" s="137" t="s">
        <v>87</v>
      </c>
      <c r="B40" s="145" t="s">
        <v>88</v>
      </c>
      <c r="C40" s="144">
        <f>'№ 7'!E566</f>
        <v>28307</v>
      </c>
      <c r="D40" s="144">
        <f>'№ 7'!F566</f>
        <v>25714.4</v>
      </c>
    </row>
    <row r="41" spans="1:4" ht="12.75">
      <c r="A41" s="16" t="s">
        <v>64</v>
      </c>
      <c r="B41" s="20" t="s">
        <v>32</v>
      </c>
      <c r="C41" s="82">
        <f>C42+C43</f>
        <v>31480.6</v>
      </c>
      <c r="D41" s="82">
        <f aca="true" t="shared" si="6" ref="D41">D42+D43</f>
        <v>31466.5</v>
      </c>
    </row>
    <row r="42" spans="1:4" ht="12.75">
      <c r="A42" s="137" t="s">
        <v>89</v>
      </c>
      <c r="B42" s="63" t="s">
        <v>65</v>
      </c>
      <c r="C42" s="17">
        <f>'№ 7'!E591</f>
        <v>15091.900000000001</v>
      </c>
      <c r="D42" s="17">
        <f>'№ 7'!F591</f>
        <v>15077.8</v>
      </c>
    </row>
    <row r="43" spans="1:4" ht="12.75">
      <c r="A43" s="137">
        <v>1103</v>
      </c>
      <c r="B43" s="138" t="s">
        <v>341</v>
      </c>
      <c r="C43" s="17">
        <f>'№ 7'!E627</f>
        <v>16388.699999999997</v>
      </c>
      <c r="D43" s="17">
        <f>'№ 7'!F627</f>
        <v>16388.7</v>
      </c>
    </row>
    <row r="44" spans="1:4" ht="19.9" customHeight="1">
      <c r="A44" s="16" t="s">
        <v>93</v>
      </c>
      <c r="B44" s="20" t="s">
        <v>66</v>
      </c>
      <c r="C44" s="82">
        <f>C45</f>
        <v>1939.4</v>
      </c>
      <c r="D44" s="82">
        <f aca="true" t="shared" si="7" ref="D44">D45</f>
        <v>1939.4</v>
      </c>
    </row>
    <row r="45" spans="1:4" ht="14.45" customHeight="1">
      <c r="A45" s="79" t="s">
        <v>67</v>
      </c>
      <c r="B45" s="63" t="s">
        <v>68</v>
      </c>
      <c r="C45" s="17">
        <f>'№ 7'!E651</f>
        <v>1939.4</v>
      </c>
      <c r="D45" s="17">
        <f>'№ 7'!F651</f>
        <v>1939.4</v>
      </c>
    </row>
    <row r="46" spans="1:4" ht="12.75">
      <c r="A46" s="16" t="s">
        <v>263</v>
      </c>
      <c r="B46" s="20" t="s">
        <v>264</v>
      </c>
      <c r="C46" s="82">
        <f>C47</f>
        <v>24</v>
      </c>
      <c r="D46" s="82">
        <f aca="true" t="shared" si="8" ref="D46">D47</f>
        <v>23.6</v>
      </c>
    </row>
    <row r="47" spans="1:4" ht="16.9" customHeight="1">
      <c r="A47" s="79" t="s">
        <v>265</v>
      </c>
      <c r="B47" s="63" t="s">
        <v>266</v>
      </c>
      <c r="C47" s="17">
        <f>'№ 7'!E670</f>
        <v>24</v>
      </c>
      <c r="D47" s="17">
        <f>'№ 7'!F670</f>
        <v>23.6</v>
      </c>
    </row>
  </sheetData>
  <mergeCells count="2">
    <mergeCell ref="A2:D2"/>
    <mergeCell ref="A1:D1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16"/>
  <sheetViews>
    <sheetView view="pageBreakPreview" zoomScale="70" zoomScaleSheetLayoutView="70" workbookViewId="0" topLeftCell="A1">
      <selection activeCell="E1" sqref="E1:G1"/>
    </sheetView>
  </sheetViews>
  <sheetFormatPr defaultColWidth="8.875" defaultRowHeight="12.75"/>
  <cols>
    <col min="1" max="1" width="6.25390625" style="28" customWidth="1"/>
    <col min="2" max="2" width="5.875" style="28" customWidth="1"/>
    <col min="3" max="3" width="14.75390625" style="28" customWidth="1"/>
    <col min="4" max="4" width="5.75390625" style="28" customWidth="1"/>
    <col min="5" max="5" width="72.75390625" style="61" customWidth="1"/>
    <col min="6" max="7" width="14.625" style="28" customWidth="1"/>
    <col min="8" max="8" width="8.875" style="298" customWidth="1"/>
    <col min="9" max="9" width="8.875" style="28" customWidth="1"/>
    <col min="10" max="10" width="10.25390625" style="28" bestFit="1" customWidth="1"/>
    <col min="11" max="16384" width="8.875" style="28" customWidth="1"/>
  </cols>
  <sheetData>
    <row r="1" spans="1:7" ht="55.15" customHeight="1">
      <c r="A1" s="305" t="s">
        <v>69</v>
      </c>
      <c r="C1" s="297"/>
      <c r="D1" s="297"/>
      <c r="E1" s="425" t="s">
        <v>1060</v>
      </c>
      <c r="F1" s="425"/>
      <c r="G1" s="425"/>
    </row>
    <row r="2" spans="1:7" ht="27.6" customHeight="1">
      <c r="A2" s="424" t="s">
        <v>1052</v>
      </c>
      <c r="B2" s="424"/>
      <c r="C2" s="424"/>
      <c r="D2" s="424"/>
      <c r="E2" s="424"/>
      <c r="F2" s="424"/>
      <c r="G2" s="424"/>
    </row>
    <row r="3" spans="1:7" ht="47.25">
      <c r="A3" s="73" t="s">
        <v>17</v>
      </c>
      <c r="B3" s="73" t="s">
        <v>38</v>
      </c>
      <c r="C3" s="73" t="s">
        <v>18</v>
      </c>
      <c r="D3" s="73" t="s">
        <v>19</v>
      </c>
      <c r="E3" s="265" t="s">
        <v>20</v>
      </c>
      <c r="F3" s="273" t="s">
        <v>457</v>
      </c>
      <c r="G3" s="273" t="s">
        <v>458</v>
      </c>
    </row>
    <row r="4" spans="1:7" ht="12.75">
      <c r="A4" s="265" t="s">
        <v>4</v>
      </c>
      <c r="B4" s="265" t="s">
        <v>80</v>
      </c>
      <c r="C4" s="265" t="s">
        <v>81</v>
      </c>
      <c r="D4" s="265" t="s">
        <v>82</v>
      </c>
      <c r="E4" s="265" t="s">
        <v>83</v>
      </c>
      <c r="F4" s="265" t="s">
        <v>84</v>
      </c>
      <c r="G4" s="265" t="s">
        <v>94</v>
      </c>
    </row>
    <row r="5" spans="1:7" ht="12.75">
      <c r="A5" s="29" t="s">
        <v>69</v>
      </c>
      <c r="B5" s="29" t="s">
        <v>69</v>
      </c>
      <c r="C5" s="29" t="s">
        <v>69</v>
      </c>
      <c r="D5" s="29" t="s">
        <v>69</v>
      </c>
      <c r="E5" s="58" t="s">
        <v>0</v>
      </c>
      <c r="F5" s="27">
        <f>F6+F487+F511+F560+F571</f>
        <v>958698.5</v>
      </c>
      <c r="G5" s="27">
        <f>G6+G487+G511+G560+G571</f>
        <v>940575.0000000001</v>
      </c>
    </row>
    <row r="6" spans="1:7" ht="31.5">
      <c r="A6" s="29" t="s">
        <v>21</v>
      </c>
      <c r="B6" s="73" t="s">
        <v>69</v>
      </c>
      <c r="C6" s="73" t="s">
        <v>69</v>
      </c>
      <c r="D6" s="73" t="s">
        <v>69</v>
      </c>
      <c r="E6" s="58" t="s">
        <v>425</v>
      </c>
      <c r="F6" s="27">
        <f>F7+F117+F140+F206+F272+F341+F383+F473+F413</f>
        <v>425826.2</v>
      </c>
      <c r="G6" s="27">
        <f>G7+G117+G140+G206+G272+G341+G383+G473+G413</f>
        <v>413039.7</v>
      </c>
    </row>
    <row r="7" spans="1:7" ht="12.75">
      <c r="A7" s="265" t="s">
        <v>21</v>
      </c>
      <c r="B7" s="265" t="s">
        <v>57</v>
      </c>
      <c r="C7" s="265" t="s">
        <v>69</v>
      </c>
      <c r="D7" s="265" t="s">
        <v>69</v>
      </c>
      <c r="E7" s="59" t="s">
        <v>22</v>
      </c>
      <c r="F7" s="22">
        <f>F8+F14+F31+F50+F43+F37</f>
        <v>56527.299999999996</v>
      </c>
      <c r="G7" s="22">
        <f aca="true" t="shared" si="0" ref="G7">G8+G14+G31+G50+G43+G37</f>
        <v>55238.9</v>
      </c>
    </row>
    <row r="8" spans="1:7" ht="31.5">
      <c r="A8" s="265" t="s">
        <v>21</v>
      </c>
      <c r="B8" s="265" t="s">
        <v>45</v>
      </c>
      <c r="C8" s="265" t="s">
        <v>69</v>
      </c>
      <c r="D8" s="265" t="s">
        <v>69</v>
      </c>
      <c r="E8" s="50" t="s">
        <v>62</v>
      </c>
      <c r="F8" s="22">
        <f>F9</f>
        <v>1787.6</v>
      </c>
      <c r="G8" s="22">
        <f aca="true" t="shared" si="1" ref="G8:G12">G9</f>
        <v>1787.6</v>
      </c>
    </row>
    <row r="9" spans="1:7" ht="12.75">
      <c r="A9" s="265" t="s">
        <v>21</v>
      </c>
      <c r="B9" s="265" t="s">
        <v>45</v>
      </c>
      <c r="C9" s="265">
        <v>9900000000</v>
      </c>
      <c r="D9" s="265"/>
      <c r="E9" s="256" t="s">
        <v>107</v>
      </c>
      <c r="F9" s="22">
        <f>F10</f>
        <v>1787.6</v>
      </c>
      <c r="G9" s="22">
        <f t="shared" si="1"/>
        <v>1787.6</v>
      </c>
    </row>
    <row r="10" spans="1:7" ht="31.5">
      <c r="A10" s="265" t="s">
        <v>21</v>
      </c>
      <c r="B10" s="265" t="s">
        <v>45</v>
      </c>
      <c r="C10" s="265">
        <v>9990000000</v>
      </c>
      <c r="D10" s="265"/>
      <c r="E10" s="256" t="s">
        <v>160</v>
      </c>
      <c r="F10" s="22">
        <f>F11</f>
        <v>1787.6</v>
      </c>
      <c r="G10" s="22">
        <f t="shared" si="1"/>
        <v>1787.6</v>
      </c>
    </row>
    <row r="11" spans="1:7" ht="12.75">
      <c r="A11" s="265" t="s">
        <v>21</v>
      </c>
      <c r="B11" s="265" t="s">
        <v>45</v>
      </c>
      <c r="C11" s="265">
        <v>9990021000</v>
      </c>
      <c r="D11" s="73"/>
      <c r="E11" s="256" t="s">
        <v>161</v>
      </c>
      <c r="F11" s="22">
        <f>F12</f>
        <v>1787.6</v>
      </c>
      <c r="G11" s="22">
        <f t="shared" si="1"/>
        <v>1787.6</v>
      </c>
    </row>
    <row r="12" spans="1:7" ht="52.15" customHeight="1">
      <c r="A12" s="265" t="s">
        <v>21</v>
      </c>
      <c r="B12" s="265" t="s">
        <v>45</v>
      </c>
      <c r="C12" s="265">
        <v>9990021000</v>
      </c>
      <c r="D12" s="265" t="s">
        <v>71</v>
      </c>
      <c r="E12" s="256" t="s">
        <v>1</v>
      </c>
      <c r="F12" s="22">
        <f>F13</f>
        <v>1787.6</v>
      </c>
      <c r="G12" s="22">
        <f t="shared" si="1"/>
        <v>1787.6</v>
      </c>
    </row>
    <row r="13" spans="1:7" ht="31.5">
      <c r="A13" s="265" t="s">
        <v>21</v>
      </c>
      <c r="B13" s="265" t="s">
        <v>45</v>
      </c>
      <c r="C13" s="265">
        <v>9990021000</v>
      </c>
      <c r="D13" s="265">
        <v>120</v>
      </c>
      <c r="E13" s="256" t="s">
        <v>258</v>
      </c>
      <c r="F13" s="22">
        <v>1787.6</v>
      </c>
      <c r="G13" s="22">
        <v>1787.6</v>
      </c>
    </row>
    <row r="14" spans="1:7" ht="47.25">
      <c r="A14" s="265" t="s">
        <v>21</v>
      </c>
      <c r="B14" s="265" t="s">
        <v>47</v>
      </c>
      <c r="C14" s="265" t="s">
        <v>69</v>
      </c>
      <c r="D14" s="265" t="s">
        <v>69</v>
      </c>
      <c r="E14" s="256" t="s">
        <v>24</v>
      </c>
      <c r="F14" s="22">
        <f>F15</f>
        <v>22447.3</v>
      </c>
      <c r="G14" s="22">
        <f aca="true" t="shared" si="2" ref="G14">G15</f>
        <v>22447.3</v>
      </c>
    </row>
    <row r="15" spans="1:7" ht="12.75">
      <c r="A15" s="265" t="s">
        <v>21</v>
      </c>
      <c r="B15" s="265" t="s">
        <v>47</v>
      </c>
      <c r="C15" s="265">
        <v>9900000000</v>
      </c>
      <c r="D15" s="265"/>
      <c r="E15" s="256" t="s">
        <v>107</v>
      </c>
      <c r="F15" s="22">
        <f>F16</f>
        <v>22447.3</v>
      </c>
      <c r="G15" s="22">
        <f aca="true" t="shared" si="3" ref="G15:G16">G16</f>
        <v>22447.3</v>
      </c>
    </row>
    <row r="16" spans="1:7" ht="31.5">
      <c r="A16" s="265" t="s">
        <v>21</v>
      </c>
      <c r="B16" s="265" t="s">
        <v>47</v>
      </c>
      <c r="C16" s="265">
        <v>9990000000</v>
      </c>
      <c r="D16" s="265"/>
      <c r="E16" s="256" t="s">
        <v>160</v>
      </c>
      <c r="F16" s="22">
        <f>F17</f>
        <v>22447.3</v>
      </c>
      <c r="G16" s="22">
        <f t="shared" si="3"/>
        <v>22447.3</v>
      </c>
    </row>
    <row r="17" spans="1:7" ht="31.5">
      <c r="A17" s="265" t="s">
        <v>21</v>
      </c>
      <c r="B17" s="265" t="s">
        <v>47</v>
      </c>
      <c r="C17" s="265">
        <v>9990200000</v>
      </c>
      <c r="D17" s="73"/>
      <c r="E17" s="256" t="s">
        <v>120</v>
      </c>
      <c r="F17" s="22">
        <f>F23+F28+F18</f>
        <v>22447.3</v>
      </c>
      <c r="G17" s="22">
        <f>G23+G28+G18</f>
        <v>22447.3</v>
      </c>
    </row>
    <row r="18" spans="1:7" ht="47.25">
      <c r="A18" s="265" t="s">
        <v>21</v>
      </c>
      <c r="B18" s="265" t="s">
        <v>47</v>
      </c>
      <c r="C18" s="265">
        <v>9990210510</v>
      </c>
      <c r="D18" s="265"/>
      <c r="E18" s="256" t="s">
        <v>163</v>
      </c>
      <c r="F18" s="22">
        <f>F19+F21</f>
        <v>662.1</v>
      </c>
      <c r="G18" s="22">
        <f aca="true" t="shared" si="4" ref="G18">G19+G21</f>
        <v>662.1</v>
      </c>
    </row>
    <row r="19" spans="1:7" ht="52.15" customHeight="1">
      <c r="A19" s="265" t="s">
        <v>21</v>
      </c>
      <c r="B19" s="265" t="s">
        <v>47</v>
      </c>
      <c r="C19" s="265">
        <v>9990210510</v>
      </c>
      <c r="D19" s="265" t="s">
        <v>71</v>
      </c>
      <c r="E19" s="256" t="s">
        <v>1</v>
      </c>
      <c r="F19" s="22">
        <f>F20</f>
        <v>575</v>
      </c>
      <c r="G19" s="22">
        <f>G20</f>
        <v>575</v>
      </c>
    </row>
    <row r="20" spans="1:7" ht="31.5">
      <c r="A20" s="265" t="s">
        <v>21</v>
      </c>
      <c r="B20" s="265" t="s">
        <v>47</v>
      </c>
      <c r="C20" s="265">
        <v>9990210510</v>
      </c>
      <c r="D20" s="265">
        <v>120</v>
      </c>
      <c r="E20" s="256" t="s">
        <v>258</v>
      </c>
      <c r="F20" s="22">
        <f>354+221</f>
        <v>575</v>
      </c>
      <c r="G20" s="22">
        <v>575</v>
      </c>
    </row>
    <row r="21" spans="1:7" ht="31.5">
      <c r="A21" s="265" t="s">
        <v>21</v>
      </c>
      <c r="B21" s="265" t="s">
        <v>47</v>
      </c>
      <c r="C21" s="265">
        <v>9990210510</v>
      </c>
      <c r="D21" s="265" t="s">
        <v>72</v>
      </c>
      <c r="E21" s="256" t="s">
        <v>95</v>
      </c>
      <c r="F21" s="22">
        <f>F22</f>
        <v>87.1</v>
      </c>
      <c r="G21" s="22">
        <f aca="true" t="shared" si="5" ref="G21">G22</f>
        <v>87.1</v>
      </c>
    </row>
    <row r="22" spans="1:7" ht="31.5">
      <c r="A22" s="265" t="s">
        <v>21</v>
      </c>
      <c r="B22" s="265" t="s">
        <v>47</v>
      </c>
      <c r="C22" s="265">
        <v>9990210510</v>
      </c>
      <c r="D22" s="265">
        <v>240</v>
      </c>
      <c r="E22" s="256" t="s">
        <v>257</v>
      </c>
      <c r="F22" s="22">
        <v>87.1</v>
      </c>
      <c r="G22" s="22">
        <v>87.1</v>
      </c>
    </row>
    <row r="23" spans="1:7" ht="47.25">
      <c r="A23" s="265" t="s">
        <v>21</v>
      </c>
      <c r="B23" s="265" t="s">
        <v>47</v>
      </c>
      <c r="C23" s="265">
        <v>9990225000</v>
      </c>
      <c r="D23" s="265"/>
      <c r="E23" s="256" t="s">
        <v>121</v>
      </c>
      <c r="F23" s="22">
        <f>F24+F26</f>
        <v>21582.3</v>
      </c>
      <c r="G23" s="22">
        <f aca="true" t="shared" si="6" ref="G23">G24+G26</f>
        <v>21582.3</v>
      </c>
    </row>
    <row r="24" spans="1:7" ht="52.15" customHeight="1">
      <c r="A24" s="265" t="s">
        <v>21</v>
      </c>
      <c r="B24" s="265" t="s">
        <v>47</v>
      </c>
      <c r="C24" s="265">
        <v>9990225000</v>
      </c>
      <c r="D24" s="265" t="s">
        <v>71</v>
      </c>
      <c r="E24" s="256" t="s">
        <v>1</v>
      </c>
      <c r="F24" s="22">
        <f>F25</f>
        <v>21502.8</v>
      </c>
      <c r="G24" s="22">
        <f>G25</f>
        <v>21502.8</v>
      </c>
    </row>
    <row r="25" spans="1:7" ht="31.5">
      <c r="A25" s="265" t="s">
        <v>21</v>
      </c>
      <c r="B25" s="265" t="s">
        <v>47</v>
      </c>
      <c r="C25" s="265">
        <v>9990225000</v>
      </c>
      <c r="D25" s="265">
        <v>120</v>
      </c>
      <c r="E25" s="256" t="s">
        <v>258</v>
      </c>
      <c r="F25" s="22">
        <v>21502.8</v>
      </c>
      <c r="G25" s="22">
        <v>21502.8</v>
      </c>
    </row>
    <row r="26" spans="1:7" ht="12.75">
      <c r="A26" s="265" t="s">
        <v>21</v>
      </c>
      <c r="B26" s="265" t="s">
        <v>47</v>
      </c>
      <c r="C26" s="265">
        <v>9990225000</v>
      </c>
      <c r="D26" s="265" t="s">
        <v>73</v>
      </c>
      <c r="E26" s="256" t="s">
        <v>74</v>
      </c>
      <c r="F26" s="22">
        <f>F27</f>
        <v>79.5</v>
      </c>
      <c r="G26" s="22">
        <f aca="true" t="shared" si="7" ref="G26">G27</f>
        <v>79.5</v>
      </c>
    </row>
    <row r="27" spans="1:7" ht="12.75">
      <c r="A27" s="265" t="s">
        <v>21</v>
      </c>
      <c r="B27" s="265" t="s">
        <v>47</v>
      </c>
      <c r="C27" s="265">
        <v>9990225000</v>
      </c>
      <c r="D27" s="265">
        <v>850</v>
      </c>
      <c r="E27" s="256" t="s">
        <v>102</v>
      </c>
      <c r="F27" s="22">
        <f>80.9-1.4</f>
        <v>79.5</v>
      </c>
      <c r="G27" s="22">
        <v>79.5</v>
      </c>
    </row>
    <row r="28" spans="1:7" ht="47.25">
      <c r="A28" s="265" t="s">
        <v>21</v>
      </c>
      <c r="B28" s="265" t="s">
        <v>47</v>
      </c>
      <c r="C28" s="265">
        <v>9990226000</v>
      </c>
      <c r="D28" s="265"/>
      <c r="E28" s="256" t="s">
        <v>162</v>
      </c>
      <c r="F28" s="22">
        <f>F29</f>
        <v>202.89999999999998</v>
      </c>
      <c r="G28" s="22">
        <f aca="true" t="shared" si="8" ref="G28:G29">G29</f>
        <v>202.9</v>
      </c>
    </row>
    <row r="29" spans="1:7" ht="50.45" customHeight="1">
      <c r="A29" s="265" t="s">
        <v>21</v>
      </c>
      <c r="B29" s="265" t="s">
        <v>47</v>
      </c>
      <c r="C29" s="265">
        <v>9990226000</v>
      </c>
      <c r="D29" s="265" t="s">
        <v>71</v>
      </c>
      <c r="E29" s="256" t="s">
        <v>1</v>
      </c>
      <c r="F29" s="22">
        <f>F30</f>
        <v>202.89999999999998</v>
      </c>
      <c r="G29" s="22">
        <f t="shared" si="8"/>
        <v>202.9</v>
      </c>
    </row>
    <row r="30" spans="1:7" ht="31.5">
      <c r="A30" s="265" t="s">
        <v>21</v>
      </c>
      <c r="B30" s="265" t="s">
        <v>47</v>
      </c>
      <c r="C30" s="265">
        <v>9990226000</v>
      </c>
      <c r="D30" s="265">
        <v>120</v>
      </c>
      <c r="E30" s="256" t="s">
        <v>258</v>
      </c>
      <c r="F30" s="22">
        <f>150.6+52.3</f>
        <v>202.89999999999998</v>
      </c>
      <c r="G30" s="22">
        <v>202.9</v>
      </c>
    </row>
    <row r="31" spans="1:7" ht="12.75">
      <c r="A31" s="265" t="s">
        <v>21</v>
      </c>
      <c r="B31" s="9" t="s">
        <v>171</v>
      </c>
      <c r="C31" s="10"/>
      <c r="D31" s="11"/>
      <c r="E31" s="50" t="s">
        <v>172</v>
      </c>
      <c r="F31" s="22">
        <f>F32</f>
        <v>28.9</v>
      </c>
      <c r="G31" s="22">
        <f aca="true" t="shared" si="9" ref="G31">G32</f>
        <v>0</v>
      </c>
    </row>
    <row r="32" spans="1:7" ht="12.75">
      <c r="A32" s="265" t="s">
        <v>21</v>
      </c>
      <c r="B32" s="9" t="s">
        <v>171</v>
      </c>
      <c r="C32" s="265">
        <v>9900000000</v>
      </c>
      <c r="D32" s="265"/>
      <c r="E32" s="256" t="s">
        <v>107</v>
      </c>
      <c r="F32" s="22">
        <f>F33</f>
        <v>28.9</v>
      </c>
      <c r="G32" s="22">
        <f aca="true" t="shared" si="10" ref="G32:G35">G33</f>
        <v>0</v>
      </c>
    </row>
    <row r="33" spans="1:7" ht="31.5">
      <c r="A33" s="265" t="s">
        <v>21</v>
      </c>
      <c r="B33" s="9" t="s">
        <v>171</v>
      </c>
      <c r="C33" s="265">
        <v>9930000000</v>
      </c>
      <c r="D33" s="265"/>
      <c r="E33" s="256" t="s">
        <v>173</v>
      </c>
      <c r="F33" s="22">
        <f>F34</f>
        <v>28.9</v>
      </c>
      <c r="G33" s="22">
        <f t="shared" si="10"/>
        <v>0</v>
      </c>
    </row>
    <row r="34" spans="1:7" ht="47.25">
      <c r="A34" s="265" t="s">
        <v>21</v>
      </c>
      <c r="B34" s="9" t="s">
        <v>171</v>
      </c>
      <c r="C34" s="265">
        <v>9930051200</v>
      </c>
      <c r="D34" s="265"/>
      <c r="E34" s="256" t="s">
        <v>174</v>
      </c>
      <c r="F34" s="22">
        <f>F35</f>
        <v>28.9</v>
      </c>
      <c r="G34" s="22">
        <f t="shared" si="10"/>
        <v>0</v>
      </c>
    </row>
    <row r="35" spans="1:7" ht="31.5">
      <c r="A35" s="265" t="s">
        <v>21</v>
      </c>
      <c r="B35" s="9" t="s">
        <v>171</v>
      </c>
      <c r="C35" s="265">
        <v>9930051200</v>
      </c>
      <c r="D35" s="265" t="s">
        <v>72</v>
      </c>
      <c r="E35" s="256" t="s">
        <v>95</v>
      </c>
      <c r="F35" s="22">
        <f>F36</f>
        <v>28.9</v>
      </c>
      <c r="G35" s="22">
        <f t="shared" si="10"/>
        <v>0</v>
      </c>
    </row>
    <row r="36" spans="1:7" ht="31.5">
      <c r="A36" s="265" t="s">
        <v>21</v>
      </c>
      <c r="B36" s="9" t="s">
        <v>171</v>
      </c>
      <c r="C36" s="265">
        <v>9930051200</v>
      </c>
      <c r="D36" s="265">
        <v>240</v>
      </c>
      <c r="E36" s="256" t="s">
        <v>257</v>
      </c>
      <c r="F36" s="22">
        <v>28.9</v>
      </c>
      <c r="G36" s="22">
        <v>0</v>
      </c>
    </row>
    <row r="37" spans="1:7" ht="12.75">
      <c r="A37" s="140" t="s">
        <v>21</v>
      </c>
      <c r="B37" s="9" t="s">
        <v>337</v>
      </c>
      <c r="C37" s="265"/>
      <c r="D37" s="265"/>
      <c r="E37" s="50" t="s">
        <v>338</v>
      </c>
      <c r="F37" s="22">
        <f>F38</f>
        <v>2175</v>
      </c>
      <c r="G37" s="22">
        <f aca="true" t="shared" si="11" ref="G37:G41">G38</f>
        <v>2175</v>
      </c>
    </row>
    <row r="38" spans="1:7" ht="12.75">
      <c r="A38" s="140" t="s">
        <v>21</v>
      </c>
      <c r="B38" s="9" t="s">
        <v>337</v>
      </c>
      <c r="C38" s="265" t="s">
        <v>112</v>
      </c>
      <c r="D38" s="265" t="s">
        <v>69</v>
      </c>
      <c r="E38" s="256" t="s">
        <v>107</v>
      </c>
      <c r="F38" s="22">
        <f>F39</f>
        <v>2175</v>
      </c>
      <c r="G38" s="22">
        <f t="shared" si="11"/>
        <v>2175</v>
      </c>
    </row>
    <row r="39" spans="1:7" ht="31.5">
      <c r="A39" s="141" t="s">
        <v>21</v>
      </c>
      <c r="B39" s="9" t="s">
        <v>337</v>
      </c>
      <c r="C39" s="265">
        <v>9930000000</v>
      </c>
      <c r="D39" s="265"/>
      <c r="E39" s="73" t="s">
        <v>173</v>
      </c>
      <c r="F39" s="22">
        <f>F40</f>
        <v>2175</v>
      </c>
      <c r="G39" s="22">
        <f t="shared" si="11"/>
        <v>2175</v>
      </c>
    </row>
    <row r="40" spans="1:7" ht="31.5">
      <c r="A40" s="142" t="s">
        <v>21</v>
      </c>
      <c r="B40" s="9" t="s">
        <v>337</v>
      </c>
      <c r="C40" s="265">
        <v>9930020480</v>
      </c>
      <c r="D40" s="265"/>
      <c r="E40" s="256" t="s">
        <v>339</v>
      </c>
      <c r="F40" s="22">
        <f>F41</f>
        <v>2175</v>
      </c>
      <c r="G40" s="22">
        <f t="shared" si="11"/>
        <v>2175</v>
      </c>
    </row>
    <row r="41" spans="1:7" ht="12.75">
      <c r="A41" s="142" t="s">
        <v>21</v>
      </c>
      <c r="B41" s="9" t="s">
        <v>337</v>
      </c>
      <c r="C41" s="265">
        <v>9930020480</v>
      </c>
      <c r="D41" s="265" t="s">
        <v>73</v>
      </c>
      <c r="E41" s="256" t="s">
        <v>74</v>
      </c>
      <c r="F41" s="22">
        <f>F42</f>
        <v>2175</v>
      </c>
      <c r="G41" s="22">
        <f t="shared" si="11"/>
        <v>2175</v>
      </c>
    </row>
    <row r="42" spans="1:7" ht="12.75">
      <c r="A42" s="142" t="s">
        <v>21</v>
      </c>
      <c r="B42" s="9" t="s">
        <v>337</v>
      </c>
      <c r="C42" s="265">
        <v>9930020480</v>
      </c>
      <c r="D42" s="265">
        <v>880</v>
      </c>
      <c r="E42" s="256" t="s">
        <v>340</v>
      </c>
      <c r="F42" s="22">
        <v>2175</v>
      </c>
      <c r="G42" s="22">
        <v>2175</v>
      </c>
    </row>
    <row r="43" spans="1:7" ht="12.75">
      <c r="A43" s="265" t="s">
        <v>21</v>
      </c>
      <c r="B43" s="299" t="s">
        <v>245</v>
      </c>
      <c r="C43" s="300"/>
      <c r="D43" s="300"/>
      <c r="E43" s="301" t="s">
        <v>247</v>
      </c>
      <c r="F43" s="22">
        <f aca="true" t="shared" si="12" ref="F43:F48">F44</f>
        <v>88.6</v>
      </c>
      <c r="G43" s="22">
        <f aca="true" t="shared" si="13" ref="G43:G48">G44</f>
        <v>88.6</v>
      </c>
    </row>
    <row r="44" spans="1:7" ht="47.25">
      <c r="A44" s="265" t="s">
        <v>21</v>
      </c>
      <c r="B44" s="9" t="s">
        <v>245</v>
      </c>
      <c r="C44" s="265">
        <v>1200000000</v>
      </c>
      <c r="D44" s="265"/>
      <c r="E44" s="256" t="s">
        <v>197</v>
      </c>
      <c r="F44" s="22">
        <f t="shared" si="12"/>
        <v>88.6</v>
      </c>
      <c r="G44" s="22">
        <f t="shared" si="13"/>
        <v>88.6</v>
      </c>
    </row>
    <row r="45" spans="1:7" ht="31.5">
      <c r="A45" s="265" t="s">
        <v>21</v>
      </c>
      <c r="B45" s="9" t="s">
        <v>245</v>
      </c>
      <c r="C45" s="265">
        <v>1240000000</v>
      </c>
      <c r="D45" s="265"/>
      <c r="E45" s="256" t="s">
        <v>140</v>
      </c>
      <c r="F45" s="22">
        <f t="shared" si="12"/>
        <v>88.6</v>
      </c>
      <c r="G45" s="22">
        <f t="shared" si="13"/>
        <v>88.6</v>
      </c>
    </row>
    <row r="46" spans="1:7" ht="21" customHeight="1">
      <c r="A46" s="265" t="s">
        <v>21</v>
      </c>
      <c r="B46" s="18" t="s">
        <v>245</v>
      </c>
      <c r="C46" s="265">
        <v>1240500000</v>
      </c>
      <c r="D46" s="265"/>
      <c r="E46" s="256" t="s">
        <v>141</v>
      </c>
      <c r="F46" s="22">
        <f t="shared" si="12"/>
        <v>88.6</v>
      </c>
      <c r="G46" s="22">
        <f t="shared" si="13"/>
        <v>88.6</v>
      </c>
    </row>
    <row r="47" spans="1:7" ht="31.5">
      <c r="A47" s="265" t="s">
        <v>21</v>
      </c>
      <c r="B47" s="9" t="s">
        <v>245</v>
      </c>
      <c r="C47" s="265">
        <v>1240520410</v>
      </c>
      <c r="D47" s="265"/>
      <c r="E47" s="256" t="s">
        <v>233</v>
      </c>
      <c r="F47" s="22">
        <f t="shared" si="12"/>
        <v>88.6</v>
      </c>
      <c r="G47" s="22">
        <f t="shared" si="13"/>
        <v>88.6</v>
      </c>
    </row>
    <row r="48" spans="1:7" ht="12.75">
      <c r="A48" s="265" t="s">
        <v>21</v>
      </c>
      <c r="B48" s="9" t="s">
        <v>245</v>
      </c>
      <c r="C48" s="265">
        <v>1240520410</v>
      </c>
      <c r="D48" s="265" t="s">
        <v>73</v>
      </c>
      <c r="E48" s="256" t="s">
        <v>74</v>
      </c>
      <c r="F48" s="22">
        <f t="shared" si="12"/>
        <v>88.6</v>
      </c>
      <c r="G48" s="22">
        <f t="shared" si="13"/>
        <v>88.6</v>
      </c>
    </row>
    <row r="49" spans="1:7" ht="31.5">
      <c r="A49" s="265" t="s">
        <v>21</v>
      </c>
      <c r="B49" s="9" t="s">
        <v>245</v>
      </c>
      <c r="C49" s="265">
        <v>1240520410</v>
      </c>
      <c r="D49" s="265">
        <v>860</v>
      </c>
      <c r="E49" s="256" t="s">
        <v>260</v>
      </c>
      <c r="F49" s="22">
        <v>88.6</v>
      </c>
      <c r="G49" s="22">
        <v>88.6</v>
      </c>
    </row>
    <row r="50" spans="1:7" ht="12.75">
      <c r="A50" s="265" t="s">
        <v>21</v>
      </c>
      <c r="B50" s="265" t="s">
        <v>63</v>
      </c>
      <c r="C50" s="265" t="s">
        <v>69</v>
      </c>
      <c r="D50" s="265" t="s">
        <v>69</v>
      </c>
      <c r="E50" s="256" t="s">
        <v>25</v>
      </c>
      <c r="F50" s="22">
        <f>F51+F69+F93+F75</f>
        <v>29999.899999999998</v>
      </c>
      <c r="G50" s="22">
        <f>G51+G69+G93+G75</f>
        <v>28740.4</v>
      </c>
    </row>
    <row r="51" spans="1:7" ht="47.25">
      <c r="A51" s="265" t="s">
        <v>21</v>
      </c>
      <c r="B51" s="265" t="s">
        <v>63</v>
      </c>
      <c r="C51" s="265">
        <v>1200000000</v>
      </c>
      <c r="D51" s="265"/>
      <c r="E51" s="256" t="s">
        <v>197</v>
      </c>
      <c r="F51" s="22">
        <f>F52</f>
        <v>1022.5999999999999</v>
      </c>
      <c r="G51" s="22">
        <f aca="true" t="shared" si="14" ref="G51">G52</f>
        <v>933.3</v>
      </c>
    </row>
    <row r="52" spans="1:7" ht="31.5">
      <c r="A52" s="265" t="s">
        <v>21</v>
      </c>
      <c r="B52" s="265" t="s">
        <v>63</v>
      </c>
      <c r="C52" s="265">
        <v>1240000000</v>
      </c>
      <c r="D52" s="265"/>
      <c r="E52" s="256" t="s">
        <v>140</v>
      </c>
      <c r="F52" s="22">
        <f>F53+F62</f>
        <v>1022.5999999999999</v>
      </c>
      <c r="G52" s="22">
        <f aca="true" t="shared" si="15" ref="G52">G53+G62</f>
        <v>933.3</v>
      </c>
    </row>
    <row r="53" spans="1:7" ht="31.5">
      <c r="A53" s="265" t="s">
        <v>21</v>
      </c>
      <c r="B53" s="265" t="s">
        <v>63</v>
      </c>
      <c r="C53" s="265">
        <v>1240200000</v>
      </c>
      <c r="D53" s="265"/>
      <c r="E53" s="256" t="s">
        <v>157</v>
      </c>
      <c r="F53" s="22">
        <f>F54+F59</f>
        <v>118.4</v>
      </c>
      <c r="G53" s="22">
        <f aca="true" t="shared" si="16" ref="G53">G54+G59</f>
        <v>108.9</v>
      </c>
    </row>
    <row r="54" spans="1:7" ht="12.75">
      <c r="A54" s="265" t="s">
        <v>21</v>
      </c>
      <c r="B54" s="265" t="s">
        <v>63</v>
      </c>
      <c r="C54" s="265">
        <v>1240220340</v>
      </c>
      <c r="D54" s="265"/>
      <c r="E54" s="256" t="s">
        <v>164</v>
      </c>
      <c r="F54" s="22">
        <f>F55+F57</f>
        <v>111.80000000000001</v>
      </c>
      <c r="G54" s="22">
        <f aca="true" t="shared" si="17" ref="G54">G55+G57</f>
        <v>102.4</v>
      </c>
    </row>
    <row r="55" spans="1:7" ht="31.5">
      <c r="A55" s="265" t="s">
        <v>21</v>
      </c>
      <c r="B55" s="265" t="s">
        <v>63</v>
      </c>
      <c r="C55" s="265">
        <v>1240220340</v>
      </c>
      <c r="D55" s="265" t="s">
        <v>72</v>
      </c>
      <c r="E55" s="256" t="s">
        <v>95</v>
      </c>
      <c r="F55" s="22">
        <f>F56</f>
        <v>80.2</v>
      </c>
      <c r="G55" s="22">
        <f aca="true" t="shared" si="18" ref="G55">G56</f>
        <v>70.8</v>
      </c>
    </row>
    <row r="56" spans="1:7" ht="31.5">
      <c r="A56" s="265" t="s">
        <v>21</v>
      </c>
      <c r="B56" s="265" t="s">
        <v>63</v>
      </c>
      <c r="C56" s="265">
        <v>1240220340</v>
      </c>
      <c r="D56" s="265">
        <v>240</v>
      </c>
      <c r="E56" s="256" t="s">
        <v>257</v>
      </c>
      <c r="F56" s="22">
        <f>82.8-2.6</f>
        <v>80.2</v>
      </c>
      <c r="G56" s="22">
        <v>70.8</v>
      </c>
    </row>
    <row r="57" spans="1:7" ht="12.75">
      <c r="A57" s="265" t="s">
        <v>21</v>
      </c>
      <c r="B57" s="265" t="s">
        <v>63</v>
      </c>
      <c r="C57" s="265">
        <v>1240220340</v>
      </c>
      <c r="D57" s="265" t="s">
        <v>76</v>
      </c>
      <c r="E57" s="256" t="s">
        <v>77</v>
      </c>
      <c r="F57" s="22">
        <f>F58</f>
        <v>31.6</v>
      </c>
      <c r="G57" s="22">
        <f aca="true" t="shared" si="19" ref="G57">G58</f>
        <v>31.6</v>
      </c>
    </row>
    <row r="58" spans="1:7" ht="12.75">
      <c r="A58" s="265" t="s">
        <v>21</v>
      </c>
      <c r="B58" s="265" t="s">
        <v>63</v>
      </c>
      <c r="C58" s="265">
        <v>1240220340</v>
      </c>
      <c r="D58" s="265">
        <v>350</v>
      </c>
      <c r="E58" s="60" t="s">
        <v>165</v>
      </c>
      <c r="F58" s="22">
        <f>30+1.6</f>
        <v>31.6</v>
      </c>
      <c r="G58" s="22">
        <v>31.6</v>
      </c>
    </row>
    <row r="59" spans="1:7" ht="31.5">
      <c r="A59" s="265" t="s">
        <v>21</v>
      </c>
      <c r="B59" s="265" t="s">
        <v>63</v>
      </c>
      <c r="C59" s="265">
        <v>1240220360</v>
      </c>
      <c r="D59" s="265"/>
      <c r="E59" s="60" t="s">
        <v>261</v>
      </c>
      <c r="F59" s="22">
        <f>F60</f>
        <v>6.6</v>
      </c>
      <c r="G59" s="22">
        <f aca="true" t="shared" si="20" ref="G59:G60">G60</f>
        <v>6.5</v>
      </c>
    </row>
    <row r="60" spans="1:7" ht="12.75">
      <c r="A60" s="265" t="s">
        <v>21</v>
      </c>
      <c r="B60" s="265" t="s">
        <v>63</v>
      </c>
      <c r="C60" s="265">
        <v>1240220360</v>
      </c>
      <c r="D60" s="265" t="s">
        <v>76</v>
      </c>
      <c r="E60" s="256" t="s">
        <v>77</v>
      </c>
      <c r="F60" s="22">
        <f>F61</f>
        <v>6.6</v>
      </c>
      <c r="G60" s="22">
        <f t="shared" si="20"/>
        <v>6.5</v>
      </c>
    </row>
    <row r="61" spans="1:7" ht="12.75">
      <c r="A61" s="265" t="s">
        <v>21</v>
      </c>
      <c r="B61" s="265" t="s">
        <v>63</v>
      </c>
      <c r="C61" s="265">
        <v>1240220360</v>
      </c>
      <c r="D61" s="265">
        <v>350</v>
      </c>
      <c r="E61" s="60" t="s">
        <v>165</v>
      </c>
      <c r="F61" s="22">
        <v>6.6</v>
      </c>
      <c r="G61" s="22">
        <v>6.5</v>
      </c>
    </row>
    <row r="62" spans="1:7" ht="24.6" customHeight="1">
      <c r="A62" s="265" t="s">
        <v>21</v>
      </c>
      <c r="B62" s="265" t="s">
        <v>63</v>
      </c>
      <c r="C62" s="265">
        <v>1240500000</v>
      </c>
      <c r="D62" s="265"/>
      <c r="E62" s="256" t="s">
        <v>141</v>
      </c>
      <c r="F62" s="22">
        <f>F63+F66</f>
        <v>904.1999999999999</v>
      </c>
      <c r="G62" s="22">
        <f aca="true" t="shared" si="21" ref="G62">G63+G66</f>
        <v>824.4</v>
      </c>
    </row>
    <row r="63" spans="1:7" ht="31.5">
      <c r="A63" s="265" t="s">
        <v>21</v>
      </c>
      <c r="B63" s="265" t="s">
        <v>63</v>
      </c>
      <c r="C63" s="265">
        <v>1240520410</v>
      </c>
      <c r="D63" s="265"/>
      <c r="E63" s="256" t="s">
        <v>233</v>
      </c>
      <c r="F63" s="22">
        <f>F64</f>
        <v>119.4</v>
      </c>
      <c r="G63" s="22">
        <f aca="true" t="shared" si="22" ref="G63:G64">G64</f>
        <v>117.1</v>
      </c>
    </row>
    <row r="64" spans="1:7" ht="12.75">
      <c r="A64" s="265" t="s">
        <v>21</v>
      </c>
      <c r="B64" s="265" t="s">
        <v>63</v>
      </c>
      <c r="C64" s="265">
        <v>1240520410</v>
      </c>
      <c r="D64" s="265" t="s">
        <v>73</v>
      </c>
      <c r="E64" s="256" t="s">
        <v>74</v>
      </c>
      <c r="F64" s="22">
        <f>F65</f>
        <v>119.4</v>
      </c>
      <c r="G64" s="22">
        <f t="shared" si="22"/>
        <v>117.1</v>
      </c>
    </row>
    <row r="65" spans="1:7" ht="12.75">
      <c r="A65" s="265" t="s">
        <v>21</v>
      </c>
      <c r="B65" s="265" t="s">
        <v>63</v>
      </c>
      <c r="C65" s="265">
        <v>1240520410</v>
      </c>
      <c r="D65" s="265">
        <v>850</v>
      </c>
      <c r="E65" s="256" t="s">
        <v>102</v>
      </c>
      <c r="F65" s="22">
        <v>119.4</v>
      </c>
      <c r="G65" s="22">
        <v>117.1</v>
      </c>
    </row>
    <row r="66" spans="1:7" ht="31.5">
      <c r="A66" s="265" t="s">
        <v>21</v>
      </c>
      <c r="B66" s="265" t="s">
        <v>63</v>
      </c>
      <c r="C66" s="265">
        <v>1240520460</v>
      </c>
      <c r="D66" s="265"/>
      <c r="E66" s="256" t="s">
        <v>248</v>
      </c>
      <c r="F66" s="22">
        <f>F67</f>
        <v>784.8</v>
      </c>
      <c r="G66" s="22">
        <f aca="true" t="shared" si="23" ref="G66:G67">G67</f>
        <v>707.3</v>
      </c>
    </row>
    <row r="67" spans="1:7" ht="31.5">
      <c r="A67" s="265" t="s">
        <v>21</v>
      </c>
      <c r="B67" s="265" t="s">
        <v>63</v>
      </c>
      <c r="C67" s="265">
        <v>1240520460</v>
      </c>
      <c r="D67" s="265" t="s">
        <v>72</v>
      </c>
      <c r="E67" s="256" t="s">
        <v>95</v>
      </c>
      <c r="F67" s="22">
        <f>F68</f>
        <v>784.8</v>
      </c>
      <c r="G67" s="22">
        <f t="shared" si="23"/>
        <v>707.3</v>
      </c>
    </row>
    <row r="68" spans="1:7" ht="31.5">
      <c r="A68" s="265" t="s">
        <v>21</v>
      </c>
      <c r="B68" s="265" t="s">
        <v>63</v>
      </c>
      <c r="C68" s="265">
        <v>1240520460</v>
      </c>
      <c r="D68" s="265">
        <v>240</v>
      </c>
      <c r="E68" s="256" t="s">
        <v>257</v>
      </c>
      <c r="F68" s="22">
        <f>516+268.8</f>
        <v>784.8</v>
      </c>
      <c r="G68" s="22">
        <v>707.3</v>
      </c>
    </row>
    <row r="69" spans="1:7" ht="31.5">
      <c r="A69" s="265" t="s">
        <v>21</v>
      </c>
      <c r="B69" s="265" t="s">
        <v>63</v>
      </c>
      <c r="C69" s="265">
        <v>1500000000</v>
      </c>
      <c r="D69" s="265"/>
      <c r="E69" s="256" t="s">
        <v>198</v>
      </c>
      <c r="F69" s="22">
        <f>F70</f>
        <v>111.4</v>
      </c>
      <c r="G69" s="22">
        <f aca="true" t="shared" si="24" ref="G69:G73">G70</f>
        <v>91.4</v>
      </c>
    </row>
    <row r="70" spans="1:7" ht="12.75">
      <c r="A70" s="265" t="s">
        <v>21</v>
      </c>
      <c r="B70" s="265" t="s">
        <v>63</v>
      </c>
      <c r="C70" s="265">
        <v>1510000000</v>
      </c>
      <c r="D70" s="265"/>
      <c r="E70" s="256" t="s">
        <v>167</v>
      </c>
      <c r="F70" s="22">
        <f>F71</f>
        <v>111.4</v>
      </c>
      <c r="G70" s="22">
        <f t="shared" si="24"/>
        <v>91.4</v>
      </c>
    </row>
    <row r="71" spans="1:7" ht="47.25">
      <c r="A71" s="265" t="s">
        <v>21</v>
      </c>
      <c r="B71" s="265" t="s">
        <v>63</v>
      </c>
      <c r="C71" s="265">
        <v>1510200000</v>
      </c>
      <c r="D71" s="265"/>
      <c r="E71" s="256" t="s">
        <v>199</v>
      </c>
      <c r="F71" s="22">
        <f>F72</f>
        <v>111.4</v>
      </c>
      <c r="G71" s="22">
        <f t="shared" si="24"/>
        <v>91.4</v>
      </c>
    </row>
    <row r="72" spans="1:7" ht="31.5">
      <c r="A72" s="265" t="s">
        <v>21</v>
      </c>
      <c r="B72" s="265" t="s">
        <v>63</v>
      </c>
      <c r="C72" s="265">
        <v>1510220170</v>
      </c>
      <c r="D72" s="265"/>
      <c r="E72" s="256" t="s">
        <v>200</v>
      </c>
      <c r="F72" s="22">
        <f>F73</f>
        <v>111.4</v>
      </c>
      <c r="G72" s="22">
        <f t="shared" si="24"/>
        <v>91.4</v>
      </c>
    </row>
    <row r="73" spans="1:7" ht="12.75">
      <c r="A73" s="265" t="s">
        <v>21</v>
      </c>
      <c r="B73" s="265" t="s">
        <v>63</v>
      </c>
      <c r="C73" s="265">
        <v>1510220170</v>
      </c>
      <c r="D73" s="265" t="s">
        <v>76</v>
      </c>
      <c r="E73" s="256" t="s">
        <v>77</v>
      </c>
      <c r="F73" s="22">
        <f>F74</f>
        <v>111.4</v>
      </c>
      <c r="G73" s="22">
        <f t="shared" si="24"/>
        <v>91.4</v>
      </c>
    </row>
    <row r="74" spans="1:7" ht="12.75">
      <c r="A74" s="265" t="s">
        <v>21</v>
      </c>
      <c r="B74" s="265" t="s">
        <v>63</v>
      </c>
      <c r="C74" s="265">
        <v>1510220170</v>
      </c>
      <c r="D74" s="2" t="s">
        <v>169</v>
      </c>
      <c r="E74" s="60" t="s">
        <v>168</v>
      </c>
      <c r="F74" s="22">
        <v>111.4</v>
      </c>
      <c r="G74" s="22">
        <v>91.4</v>
      </c>
    </row>
    <row r="75" spans="1:7" ht="47.25">
      <c r="A75" s="265" t="s">
        <v>21</v>
      </c>
      <c r="B75" s="265" t="s">
        <v>63</v>
      </c>
      <c r="C75" s="265">
        <v>1600000000</v>
      </c>
      <c r="D75" s="265"/>
      <c r="E75" s="256" t="s">
        <v>116</v>
      </c>
      <c r="F75" s="22">
        <f>F88+F76</f>
        <v>2179</v>
      </c>
      <c r="G75" s="22">
        <f aca="true" t="shared" si="25" ref="G75">G88+G76</f>
        <v>2171.9</v>
      </c>
    </row>
    <row r="76" spans="1:7" ht="47.25">
      <c r="A76" s="265" t="s">
        <v>21</v>
      </c>
      <c r="B76" s="265" t="s">
        <v>63</v>
      </c>
      <c r="C76" s="265">
        <v>1630000000</v>
      </c>
      <c r="D76" s="265"/>
      <c r="E76" s="256" t="s">
        <v>235</v>
      </c>
      <c r="F76" s="22">
        <f>F77+F84</f>
        <v>2152.5</v>
      </c>
      <c r="G76" s="22">
        <f aca="true" t="shared" si="26" ref="G76">G77+G84</f>
        <v>2145.4</v>
      </c>
    </row>
    <row r="77" spans="1:7" ht="47.25">
      <c r="A77" s="265" t="s">
        <v>21</v>
      </c>
      <c r="B77" s="265" t="s">
        <v>63</v>
      </c>
      <c r="C77" s="265">
        <v>1630100000</v>
      </c>
      <c r="D77" s="265"/>
      <c r="E77" s="256" t="s">
        <v>236</v>
      </c>
      <c r="F77" s="22">
        <f>F78+F81</f>
        <v>1993.4</v>
      </c>
      <c r="G77" s="22">
        <f aca="true" t="shared" si="27" ref="G77">G78+G81</f>
        <v>1986.3</v>
      </c>
    </row>
    <row r="78" spans="1:7" ht="47.25">
      <c r="A78" s="265" t="s">
        <v>21</v>
      </c>
      <c r="B78" s="265" t="s">
        <v>63</v>
      </c>
      <c r="C78" s="265">
        <v>1630120180</v>
      </c>
      <c r="D78" s="265"/>
      <c r="E78" s="256" t="s">
        <v>237</v>
      </c>
      <c r="F78" s="22">
        <f>F79</f>
        <v>1300.3</v>
      </c>
      <c r="G78" s="22">
        <f aca="true" t="shared" si="28" ref="G78">G79</f>
        <v>1300.3</v>
      </c>
    </row>
    <row r="79" spans="1:7" ht="31.5">
      <c r="A79" s="265" t="s">
        <v>21</v>
      </c>
      <c r="B79" s="265" t="s">
        <v>63</v>
      </c>
      <c r="C79" s="265">
        <v>1630120180</v>
      </c>
      <c r="D79" s="265" t="s">
        <v>72</v>
      </c>
      <c r="E79" s="256" t="s">
        <v>95</v>
      </c>
      <c r="F79" s="22">
        <f>F80</f>
        <v>1300.3</v>
      </c>
      <c r="G79" s="22">
        <f aca="true" t="shared" si="29" ref="G79">G80</f>
        <v>1300.3</v>
      </c>
    </row>
    <row r="80" spans="1:7" ht="31.5">
      <c r="A80" s="265" t="s">
        <v>21</v>
      </c>
      <c r="B80" s="265" t="s">
        <v>63</v>
      </c>
      <c r="C80" s="265">
        <v>1630120180</v>
      </c>
      <c r="D80" s="265">
        <v>240</v>
      </c>
      <c r="E80" s="256" t="s">
        <v>257</v>
      </c>
      <c r="F80" s="22">
        <f>1186.5+59.3+54.5</f>
        <v>1300.3</v>
      </c>
      <c r="G80" s="22">
        <v>1300.3</v>
      </c>
    </row>
    <row r="81" spans="1:7" ht="47.25">
      <c r="A81" s="265" t="s">
        <v>21</v>
      </c>
      <c r="B81" s="265" t="s">
        <v>63</v>
      </c>
      <c r="C81" s="265">
        <v>1630120520</v>
      </c>
      <c r="D81" s="265"/>
      <c r="E81" s="256" t="s">
        <v>242</v>
      </c>
      <c r="F81" s="22">
        <f>F82</f>
        <v>693.1</v>
      </c>
      <c r="G81" s="22">
        <f aca="true" t="shared" si="30" ref="G81">G82</f>
        <v>686</v>
      </c>
    </row>
    <row r="82" spans="1:7" ht="31.5">
      <c r="A82" s="265" t="s">
        <v>21</v>
      </c>
      <c r="B82" s="265" t="s">
        <v>63</v>
      </c>
      <c r="C82" s="265">
        <v>1630120520</v>
      </c>
      <c r="D82" s="265" t="s">
        <v>72</v>
      </c>
      <c r="E82" s="256" t="s">
        <v>95</v>
      </c>
      <c r="F82" s="22">
        <f>F83</f>
        <v>693.1</v>
      </c>
      <c r="G82" s="22">
        <f aca="true" t="shared" si="31" ref="G82">G83</f>
        <v>686</v>
      </c>
    </row>
    <row r="83" spans="1:7" ht="31.5">
      <c r="A83" s="265" t="s">
        <v>21</v>
      </c>
      <c r="B83" s="265" t="s">
        <v>63</v>
      </c>
      <c r="C83" s="265">
        <v>1630120520</v>
      </c>
      <c r="D83" s="265">
        <v>240</v>
      </c>
      <c r="E83" s="256" t="s">
        <v>257</v>
      </c>
      <c r="F83" s="22">
        <f>683.9+30-20.8</f>
        <v>693.1</v>
      </c>
      <c r="G83" s="22">
        <v>686</v>
      </c>
    </row>
    <row r="84" spans="1:7" ht="34.15" customHeight="1">
      <c r="A84" s="265" t="s">
        <v>21</v>
      </c>
      <c r="B84" s="265" t="s">
        <v>63</v>
      </c>
      <c r="C84" s="265">
        <v>1630200000</v>
      </c>
      <c r="D84" s="265"/>
      <c r="E84" s="256" t="s">
        <v>238</v>
      </c>
      <c r="F84" s="22">
        <f>F85</f>
        <v>159.10000000000002</v>
      </c>
      <c r="G84" s="22">
        <f aca="true" t="shared" si="32" ref="G84">G85</f>
        <v>159.1</v>
      </c>
    </row>
    <row r="85" spans="1:7" ht="12.75">
      <c r="A85" s="265" t="s">
        <v>21</v>
      </c>
      <c r="B85" s="265" t="s">
        <v>63</v>
      </c>
      <c r="C85" s="265">
        <v>1630220530</v>
      </c>
      <c r="D85" s="265"/>
      <c r="E85" s="256" t="s">
        <v>239</v>
      </c>
      <c r="F85" s="22">
        <f>F86</f>
        <v>159.10000000000002</v>
      </c>
      <c r="G85" s="22">
        <f aca="true" t="shared" si="33" ref="G85:G86">G86</f>
        <v>159.1</v>
      </c>
    </row>
    <row r="86" spans="1:7" ht="31.5">
      <c r="A86" s="265" t="s">
        <v>21</v>
      </c>
      <c r="B86" s="265" t="s">
        <v>63</v>
      </c>
      <c r="C86" s="265">
        <v>1630220530</v>
      </c>
      <c r="D86" s="265" t="s">
        <v>72</v>
      </c>
      <c r="E86" s="256" t="s">
        <v>95</v>
      </c>
      <c r="F86" s="22">
        <f>F87</f>
        <v>159.10000000000002</v>
      </c>
      <c r="G86" s="22">
        <f t="shared" si="33"/>
        <v>159.1</v>
      </c>
    </row>
    <row r="87" spans="1:7" ht="31.5">
      <c r="A87" s="265" t="s">
        <v>21</v>
      </c>
      <c r="B87" s="265" t="s">
        <v>63</v>
      </c>
      <c r="C87" s="265">
        <v>1630220530</v>
      </c>
      <c r="D87" s="265">
        <v>240</v>
      </c>
      <c r="E87" s="256" t="s">
        <v>257</v>
      </c>
      <c r="F87" s="22">
        <f>282.1-89.3-33.7</f>
        <v>159.10000000000002</v>
      </c>
      <c r="G87" s="22">
        <v>159.1</v>
      </c>
    </row>
    <row r="88" spans="1:7" ht="47.25">
      <c r="A88" s="265" t="s">
        <v>21</v>
      </c>
      <c r="B88" s="265" t="s">
        <v>63</v>
      </c>
      <c r="C88" s="265">
        <v>1640000000</v>
      </c>
      <c r="D88" s="2"/>
      <c r="E88" s="60" t="s">
        <v>228</v>
      </c>
      <c r="F88" s="22">
        <f>F89</f>
        <v>26.5</v>
      </c>
      <c r="G88" s="22">
        <f aca="true" t="shared" si="34" ref="G88">G89</f>
        <v>26.5</v>
      </c>
    </row>
    <row r="89" spans="1:7" ht="31.5">
      <c r="A89" s="265" t="s">
        <v>21</v>
      </c>
      <c r="B89" s="265" t="s">
        <v>63</v>
      </c>
      <c r="C89" s="265">
        <v>1640200000</v>
      </c>
      <c r="D89" s="2"/>
      <c r="E89" s="60" t="s">
        <v>231</v>
      </c>
      <c r="F89" s="22">
        <f>F90</f>
        <v>26.5</v>
      </c>
      <c r="G89" s="22">
        <f aca="true" t="shared" si="35" ref="G89:G91">G90</f>
        <v>26.5</v>
      </c>
    </row>
    <row r="90" spans="1:7" ht="12.75">
      <c r="A90" s="265" t="s">
        <v>21</v>
      </c>
      <c r="B90" s="265" t="s">
        <v>63</v>
      </c>
      <c r="C90" s="265">
        <v>1640220250</v>
      </c>
      <c r="D90" s="2"/>
      <c r="E90" s="60" t="s">
        <v>229</v>
      </c>
      <c r="F90" s="22">
        <f>F91</f>
        <v>26.5</v>
      </c>
      <c r="G90" s="22">
        <f t="shared" si="35"/>
        <v>26.5</v>
      </c>
    </row>
    <row r="91" spans="1:7" ht="31.5">
      <c r="A91" s="265" t="s">
        <v>21</v>
      </c>
      <c r="B91" s="265" t="s">
        <v>63</v>
      </c>
      <c r="C91" s="265">
        <v>1640220250</v>
      </c>
      <c r="D91" s="265" t="s">
        <v>72</v>
      </c>
      <c r="E91" s="256" t="s">
        <v>95</v>
      </c>
      <c r="F91" s="22">
        <f>F92</f>
        <v>26.5</v>
      </c>
      <c r="G91" s="22">
        <f t="shared" si="35"/>
        <v>26.5</v>
      </c>
    </row>
    <row r="92" spans="1:7" ht="31.5">
      <c r="A92" s="265" t="s">
        <v>21</v>
      </c>
      <c r="B92" s="265" t="s">
        <v>63</v>
      </c>
      <c r="C92" s="265">
        <v>1640220250</v>
      </c>
      <c r="D92" s="265">
        <v>240</v>
      </c>
      <c r="E92" s="256" t="s">
        <v>257</v>
      </c>
      <c r="F92" s="22">
        <v>26.5</v>
      </c>
      <c r="G92" s="22">
        <v>26.5</v>
      </c>
    </row>
    <row r="93" spans="1:7" ht="12.75">
      <c r="A93" s="265" t="s">
        <v>21</v>
      </c>
      <c r="B93" s="265" t="s">
        <v>63</v>
      </c>
      <c r="C93" s="265">
        <v>9900000000</v>
      </c>
      <c r="D93" s="265"/>
      <c r="E93" s="256" t="s">
        <v>107</v>
      </c>
      <c r="F93" s="22">
        <f>F98+F94</f>
        <v>26686.899999999998</v>
      </c>
      <c r="G93" s="22">
        <f>G98+G94</f>
        <v>25543.8</v>
      </c>
    </row>
    <row r="94" spans="1:7" ht="12.75">
      <c r="A94" s="265" t="s">
        <v>21</v>
      </c>
      <c r="B94" s="265" t="s">
        <v>63</v>
      </c>
      <c r="C94" s="265">
        <v>9910000000</v>
      </c>
      <c r="D94" s="265"/>
      <c r="E94" s="256" t="s">
        <v>9</v>
      </c>
      <c r="F94" s="22">
        <f>F95</f>
        <v>137</v>
      </c>
      <c r="G94" s="22">
        <f aca="true" t="shared" si="36" ref="G94:G96">G95</f>
        <v>137</v>
      </c>
    </row>
    <row r="95" spans="1:7" ht="31.5">
      <c r="A95" s="265" t="s">
        <v>21</v>
      </c>
      <c r="B95" s="265" t="s">
        <v>63</v>
      </c>
      <c r="C95" s="265">
        <v>9910020000</v>
      </c>
      <c r="D95" s="265"/>
      <c r="E95" s="256" t="s">
        <v>178</v>
      </c>
      <c r="F95" s="22">
        <f>F96</f>
        <v>137</v>
      </c>
      <c r="G95" s="22">
        <f t="shared" si="36"/>
        <v>137</v>
      </c>
    </row>
    <row r="96" spans="1:7" ht="31.5">
      <c r="A96" s="265" t="s">
        <v>21</v>
      </c>
      <c r="B96" s="265" t="s">
        <v>63</v>
      </c>
      <c r="C96" s="265">
        <v>9910020000</v>
      </c>
      <c r="D96" s="265" t="s">
        <v>72</v>
      </c>
      <c r="E96" s="256" t="s">
        <v>95</v>
      </c>
      <c r="F96" s="22">
        <f>F97</f>
        <v>137</v>
      </c>
      <c r="G96" s="22">
        <f t="shared" si="36"/>
        <v>137</v>
      </c>
    </row>
    <row r="97" spans="1:7" ht="31.5">
      <c r="A97" s="265" t="s">
        <v>21</v>
      </c>
      <c r="B97" s="265" t="s">
        <v>63</v>
      </c>
      <c r="C97" s="265">
        <v>9910020000</v>
      </c>
      <c r="D97" s="265">
        <v>240</v>
      </c>
      <c r="E97" s="256" t="s">
        <v>257</v>
      </c>
      <c r="F97" s="22">
        <v>137</v>
      </c>
      <c r="G97" s="22">
        <v>137</v>
      </c>
    </row>
    <row r="98" spans="1:7" ht="31.5">
      <c r="A98" s="265" t="s">
        <v>21</v>
      </c>
      <c r="B98" s="265" t="s">
        <v>63</v>
      </c>
      <c r="C98" s="265">
        <v>9990000000</v>
      </c>
      <c r="D98" s="265"/>
      <c r="E98" s="256" t="s">
        <v>160</v>
      </c>
      <c r="F98" s="22">
        <f>F99+F108</f>
        <v>26549.899999999998</v>
      </c>
      <c r="G98" s="22">
        <f aca="true" t="shared" si="37" ref="G98">G99+G108</f>
        <v>25406.8</v>
      </c>
    </row>
    <row r="99" spans="1:7" ht="31.5">
      <c r="A99" s="265" t="s">
        <v>21</v>
      </c>
      <c r="B99" s="265" t="s">
        <v>63</v>
      </c>
      <c r="C99" s="265">
        <v>9990200000</v>
      </c>
      <c r="D99" s="73"/>
      <c r="E99" s="256" t="s">
        <v>120</v>
      </c>
      <c r="F99" s="22">
        <f>F105+F100</f>
        <v>830.9</v>
      </c>
      <c r="G99" s="22">
        <f aca="true" t="shared" si="38" ref="G99">G105+G100</f>
        <v>830.9</v>
      </c>
    </row>
    <row r="100" spans="1:7" ht="63">
      <c r="A100" s="265" t="s">
        <v>21</v>
      </c>
      <c r="B100" s="265" t="s">
        <v>63</v>
      </c>
      <c r="C100" s="265">
        <v>9990210540</v>
      </c>
      <c r="D100" s="265"/>
      <c r="E100" s="256" t="s">
        <v>170</v>
      </c>
      <c r="F100" s="22">
        <f>F101+F103</f>
        <v>264</v>
      </c>
      <c r="G100" s="22">
        <f aca="true" t="shared" si="39" ref="G100">G101+G103</f>
        <v>264</v>
      </c>
    </row>
    <row r="101" spans="1:7" ht="63">
      <c r="A101" s="265" t="s">
        <v>21</v>
      </c>
      <c r="B101" s="265" t="s">
        <v>63</v>
      </c>
      <c r="C101" s="265">
        <v>9990210540</v>
      </c>
      <c r="D101" s="265" t="s">
        <v>71</v>
      </c>
      <c r="E101" s="256" t="s">
        <v>1</v>
      </c>
      <c r="F101" s="22">
        <f>F102</f>
        <v>256.3</v>
      </c>
      <c r="G101" s="22">
        <f>G102</f>
        <v>256.3</v>
      </c>
    </row>
    <row r="102" spans="1:7" ht="31.5">
      <c r="A102" s="265" t="s">
        <v>21</v>
      </c>
      <c r="B102" s="265" t="s">
        <v>63</v>
      </c>
      <c r="C102" s="265">
        <v>9990210540</v>
      </c>
      <c r="D102" s="265">
        <v>120</v>
      </c>
      <c r="E102" s="256" t="s">
        <v>258</v>
      </c>
      <c r="F102" s="22">
        <v>256.3</v>
      </c>
      <c r="G102" s="22">
        <v>256.3</v>
      </c>
    </row>
    <row r="103" spans="1:7" ht="31.5">
      <c r="A103" s="265" t="s">
        <v>21</v>
      </c>
      <c r="B103" s="265" t="s">
        <v>63</v>
      </c>
      <c r="C103" s="265">
        <v>9990210540</v>
      </c>
      <c r="D103" s="265" t="s">
        <v>72</v>
      </c>
      <c r="E103" s="256" t="s">
        <v>95</v>
      </c>
      <c r="F103" s="22">
        <f>F104</f>
        <v>7.7</v>
      </c>
      <c r="G103" s="22">
        <f aca="true" t="shared" si="40" ref="G103">G104</f>
        <v>7.7</v>
      </c>
    </row>
    <row r="104" spans="1:7" ht="31.5">
      <c r="A104" s="265" t="s">
        <v>21</v>
      </c>
      <c r="B104" s="265" t="s">
        <v>63</v>
      </c>
      <c r="C104" s="265">
        <v>9990210540</v>
      </c>
      <c r="D104" s="265">
        <v>240</v>
      </c>
      <c r="E104" s="256" t="s">
        <v>257</v>
      </c>
      <c r="F104" s="22">
        <v>7.7</v>
      </c>
      <c r="G104" s="22">
        <v>7.7</v>
      </c>
    </row>
    <row r="105" spans="1:7" ht="47.25">
      <c r="A105" s="265" t="s">
        <v>21</v>
      </c>
      <c r="B105" s="265" t="s">
        <v>63</v>
      </c>
      <c r="C105" s="265">
        <v>9990226000</v>
      </c>
      <c r="D105" s="265"/>
      <c r="E105" s="256" t="s">
        <v>162</v>
      </c>
      <c r="F105" s="22">
        <f>F106</f>
        <v>566.9</v>
      </c>
      <c r="G105" s="22">
        <f aca="true" t="shared" si="41" ref="G105:G106">G106</f>
        <v>566.9</v>
      </c>
    </row>
    <row r="106" spans="1:7" ht="63">
      <c r="A106" s="265" t="s">
        <v>21</v>
      </c>
      <c r="B106" s="265" t="s">
        <v>63</v>
      </c>
      <c r="C106" s="265">
        <v>9990226000</v>
      </c>
      <c r="D106" s="265" t="s">
        <v>71</v>
      </c>
      <c r="E106" s="256" t="s">
        <v>1</v>
      </c>
      <c r="F106" s="22">
        <f>F107</f>
        <v>566.9</v>
      </c>
      <c r="G106" s="22">
        <f t="shared" si="41"/>
        <v>566.9</v>
      </c>
    </row>
    <row r="107" spans="1:7" ht="31.5">
      <c r="A107" s="265" t="s">
        <v>21</v>
      </c>
      <c r="B107" s="265" t="s">
        <v>63</v>
      </c>
      <c r="C107" s="265">
        <v>9990226000</v>
      </c>
      <c r="D107" s="265">
        <v>120</v>
      </c>
      <c r="E107" s="256" t="s">
        <v>258</v>
      </c>
      <c r="F107" s="22">
        <f>511.3+55.6</f>
        <v>566.9</v>
      </c>
      <c r="G107" s="22">
        <v>566.9</v>
      </c>
    </row>
    <row r="108" spans="1:7" ht="31.5">
      <c r="A108" s="265" t="s">
        <v>21</v>
      </c>
      <c r="B108" s="265" t="s">
        <v>63</v>
      </c>
      <c r="C108" s="265">
        <v>9990300000</v>
      </c>
      <c r="D108" s="265"/>
      <c r="E108" s="256" t="s">
        <v>175</v>
      </c>
      <c r="F108" s="22">
        <f>F109+F111+F115+F113</f>
        <v>25718.999999999996</v>
      </c>
      <c r="G108" s="22">
        <f aca="true" t="shared" si="42" ref="G108">G109+G111+G115+G113</f>
        <v>24575.899999999998</v>
      </c>
    </row>
    <row r="109" spans="1:7" ht="63">
      <c r="A109" s="265" t="s">
        <v>21</v>
      </c>
      <c r="B109" s="265" t="s">
        <v>63</v>
      </c>
      <c r="C109" s="265">
        <v>9990300000</v>
      </c>
      <c r="D109" s="265" t="s">
        <v>71</v>
      </c>
      <c r="E109" s="256" t="s">
        <v>1</v>
      </c>
      <c r="F109" s="22">
        <f>F110</f>
        <v>18335.199999999997</v>
      </c>
      <c r="G109" s="22">
        <f aca="true" t="shared" si="43" ref="G109">G110</f>
        <v>18334</v>
      </c>
    </row>
    <row r="110" spans="1:7" ht="12.75">
      <c r="A110" s="265" t="s">
        <v>21</v>
      </c>
      <c r="B110" s="265" t="s">
        <v>63</v>
      </c>
      <c r="C110" s="265">
        <v>9990300000</v>
      </c>
      <c r="D110" s="265">
        <v>110</v>
      </c>
      <c r="E110" s="60" t="s">
        <v>176</v>
      </c>
      <c r="F110" s="22">
        <f>20055.8-1907.4-42.7+250.4-20.9</f>
        <v>18335.199999999997</v>
      </c>
      <c r="G110" s="22">
        <v>18334</v>
      </c>
    </row>
    <row r="111" spans="1:7" ht="31.5">
      <c r="A111" s="265" t="s">
        <v>21</v>
      </c>
      <c r="B111" s="265" t="s">
        <v>63</v>
      </c>
      <c r="C111" s="265">
        <v>9990300000</v>
      </c>
      <c r="D111" s="265" t="s">
        <v>72</v>
      </c>
      <c r="E111" s="256" t="s">
        <v>95</v>
      </c>
      <c r="F111" s="22">
        <f>F112</f>
        <v>7313.5</v>
      </c>
      <c r="G111" s="22">
        <f aca="true" t="shared" si="44" ref="G111">G112</f>
        <v>6171.6</v>
      </c>
    </row>
    <row r="112" spans="1:7" ht="31.5">
      <c r="A112" s="265" t="s">
        <v>21</v>
      </c>
      <c r="B112" s="265" t="s">
        <v>63</v>
      </c>
      <c r="C112" s="265">
        <v>9990300000</v>
      </c>
      <c r="D112" s="265">
        <v>240</v>
      </c>
      <c r="E112" s="256" t="s">
        <v>257</v>
      </c>
      <c r="F112" s="22">
        <f>7763-449.5</f>
        <v>7313.5</v>
      </c>
      <c r="G112" s="22">
        <v>6171.6</v>
      </c>
    </row>
    <row r="113" spans="1:7" ht="12.75">
      <c r="A113" s="265" t="s">
        <v>21</v>
      </c>
      <c r="B113" s="265" t="s">
        <v>63</v>
      </c>
      <c r="C113" s="265">
        <v>9990300000</v>
      </c>
      <c r="D113" s="265" t="s">
        <v>76</v>
      </c>
      <c r="E113" s="256" t="s">
        <v>77</v>
      </c>
      <c r="F113" s="22">
        <f>F114</f>
        <v>42.7</v>
      </c>
      <c r="G113" s="22">
        <f aca="true" t="shared" si="45" ref="G113">G114</f>
        <v>42.7</v>
      </c>
    </row>
    <row r="114" spans="1:7" ht="31.5">
      <c r="A114" s="265" t="s">
        <v>21</v>
      </c>
      <c r="B114" s="265" t="s">
        <v>63</v>
      </c>
      <c r="C114" s="265">
        <v>9990300000</v>
      </c>
      <c r="D114" s="265">
        <v>320</v>
      </c>
      <c r="E114" s="256" t="s">
        <v>104</v>
      </c>
      <c r="F114" s="22">
        <v>42.7</v>
      </c>
      <c r="G114" s="22">
        <v>42.7</v>
      </c>
    </row>
    <row r="115" spans="1:7" ht="12.75">
      <c r="A115" s="265" t="s">
        <v>21</v>
      </c>
      <c r="B115" s="265" t="s">
        <v>63</v>
      </c>
      <c r="C115" s="265">
        <v>9990300000</v>
      </c>
      <c r="D115" s="265" t="s">
        <v>73</v>
      </c>
      <c r="E115" s="256" t="s">
        <v>74</v>
      </c>
      <c r="F115" s="22">
        <f>F116</f>
        <v>27.6</v>
      </c>
      <c r="G115" s="22">
        <f aca="true" t="shared" si="46" ref="G115">G116</f>
        <v>27.6</v>
      </c>
    </row>
    <row r="116" spans="1:7" ht="12.75">
      <c r="A116" s="265" t="s">
        <v>21</v>
      </c>
      <c r="B116" s="265" t="s">
        <v>63</v>
      </c>
      <c r="C116" s="265">
        <v>9990300000</v>
      </c>
      <c r="D116" s="265">
        <v>850</v>
      </c>
      <c r="E116" s="256" t="s">
        <v>102</v>
      </c>
      <c r="F116" s="22">
        <v>27.6</v>
      </c>
      <c r="G116" s="22">
        <v>27.6</v>
      </c>
    </row>
    <row r="117" spans="1:7" ht="12.75">
      <c r="A117" s="265" t="s">
        <v>21</v>
      </c>
      <c r="B117" s="265" t="s">
        <v>58</v>
      </c>
      <c r="C117" s="265" t="s">
        <v>69</v>
      </c>
      <c r="D117" s="265" t="s">
        <v>69</v>
      </c>
      <c r="E117" s="50" t="s">
        <v>26</v>
      </c>
      <c r="F117" s="22">
        <f>F118+F133</f>
        <v>10010.8</v>
      </c>
      <c r="G117" s="22">
        <f>G118+G133</f>
        <v>10010.8</v>
      </c>
    </row>
    <row r="118" spans="1:7" ht="12.75">
      <c r="A118" s="265" t="s">
        <v>21</v>
      </c>
      <c r="B118" s="265" t="s">
        <v>78</v>
      </c>
      <c r="C118" s="265" t="s">
        <v>69</v>
      </c>
      <c r="D118" s="265" t="s">
        <v>69</v>
      </c>
      <c r="E118" s="256" t="s">
        <v>79</v>
      </c>
      <c r="F118" s="22">
        <f>F119</f>
        <v>2274.5999999999995</v>
      </c>
      <c r="G118" s="22">
        <f aca="true" t="shared" si="47" ref="G118:G120">G119</f>
        <v>2274.6</v>
      </c>
    </row>
    <row r="119" spans="1:7" ht="12.75">
      <c r="A119" s="265" t="s">
        <v>21</v>
      </c>
      <c r="B119" s="265" t="s">
        <v>78</v>
      </c>
      <c r="C119" s="265">
        <v>9900000000</v>
      </c>
      <c r="D119" s="265"/>
      <c r="E119" s="256" t="s">
        <v>107</v>
      </c>
      <c r="F119" s="22">
        <f>F120</f>
        <v>2274.5999999999995</v>
      </c>
      <c r="G119" s="22">
        <f t="shared" si="47"/>
        <v>2274.6</v>
      </c>
    </row>
    <row r="120" spans="1:7" ht="31.5">
      <c r="A120" s="265" t="s">
        <v>21</v>
      </c>
      <c r="B120" s="265" t="s">
        <v>78</v>
      </c>
      <c r="C120" s="265">
        <v>9990000000</v>
      </c>
      <c r="D120" s="265"/>
      <c r="E120" s="256" t="s">
        <v>160</v>
      </c>
      <c r="F120" s="22">
        <f>F121</f>
        <v>2274.5999999999995</v>
      </c>
      <c r="G120" s="22">
        <f t="shared" si="47"/>
        <v>2274.6</v>
      </c>
    </row>
    <row r="121" spans="1:7" ht="31.5">
      <c r="A121" s="265" t="s">
        <v>21</v>
      </c>
      <c r="B121" s="265" t="s">
        <v>78</v>
      </c>
      <c r="C121" s="265">
        <v>9990200000</v>
      </c>
      <c r="D121" s="73"/>
      <c r="E121" s="256" t="s">
        <v>120</v>
      </c>
      <c r="F121" s="22">
        <f>F122+F128+F125</f>
        <v>2274.5999999999995</v>
      </c>
      <c r="G121" s="22">
        <f>G122+G128+G125</f>
        <v>2274.6</v>
      </c>
    </row>
    <row r="122" spans="1:7" ht="47.25">
      <c r="A122" s="265" t="s">
        <v>21</v>
      </c>
      <c r="B122" s="265" t="s">
        <v>78</v>
      </c>
      <c r="C122" s="265">
        <v>9990226000</v>
      </c>
      <c r="D122" s="265"/>
      <c r="E122" s="256" t="s">
        <v>162</v>
      </c>
      <c r="F122" s="22">
        <f>F123</f>
        <v>131.5</v>
      </c>
      <c r="G122" s="22">
        <f aca="true" t="shared" si="48" ref="G122:G123">G123</f>
        <v>131.5</v>
      </c>
    </row>
    <row r="123" spans="1:7" ht="63">
      <c r="A123" s="265" t="s">
        <v>21</v>
      </c>
      <c r="B123" s="265" t="s">
        <v>78</v>
      </c>
      <c r="C123" s="265">
        <v>9990226000</v>
      </c>
      <c r="D123" s="265" t="s">
        <v>71</v>
      </c>
      <c r="E123" s="256" t="s">
        <v>1</v>
      </c>
      <c r="F123" s="22">
        <f>F124</f>
        <v>131.5</v>
      </c>
      <c r="G123" s="22">
        <f t="shared" si="48"/>
        <v>131.5</v>
      </c>
    </row>
    <row r="124" spans="1:7" ht="31.5">
      <c r="A124" s="265" t="s">
        <v>21</v>
      </c>
      <c r="B124" s="265" t="s">
        <v>78</v>
      </c>
      <c r="C124" s="265">
        <v>9990226000</v>
      </c>
      <c r="D124" s="265">
        <v>120</v>
      </c>
      <c r="E124" s="256" t="s">
        <v>258</v>
      </c>
      <c r="F124" s="22">
        <f>131.7-0.2</f>
        <v>131.5</v>
      </c>
      <c r="G124" s="22">
        <v>131.5</v>
      </c>
    </row>
    <row r="125" spans="1:7" ht="163.9" customHeight="1">
      <c r="A125" s="265" t="s">
        <v>21</v>
      </c>
      <c r="B125" s="265" t="s">
        <v>78</v>
      </c>
      <c r="C125" s="265">
        <v>9990258792</v>
      </c>
      <c r="D125" s="265"/>
      <c r="E125" s="256" t="s">
        <v>493</v>
      </c>
      <c r="F125" s="22">
        <f>F126</f>
        <v>177.7</v>
      </c>
      <c r="G125" s="22">
        <f>G126</f>
        <v>177.7</v>
      </c>
    </row>
    <row r="126" spans="1:7" ht="63">
      <c r="A126" s="265" t="s">
        <v>21</v>
      </c>
      <c r="B126" s="265" t="s">
        <v>78</v>
      </c>
      <c r="C126" s="265">
        <v>9990258792</v>
      </c>
      <c r="D126" s="265" t="s">
        <v>71</v>
      </c>
      <c r="E126" s="256" t="s">
        <v>1</v>
      </c>
      <c r="F126" s="22">
        <f>F127</f>
        <v>177.7</v>
      </c>
      <c r="G126" s="22">
        <f>G127</f>
        <v>177.7</v>
      </c>
    </row>
    <row r="127" spans="1:7" ht="31.5">
      <c r="A127" s="265" t="s">
        <v>21</v>
      </c>
      <c r="B127" s="265" t="s">
        <v>78</v>
      </c>
      <c r="C127" s="265">
        <v>9990258792</v>
      </c>
      <c r="D127" s="265">
        <v>120</v>
      </c>
      <c r="E127" s="256" t="s">
        <v>258</v>
      </c>
      <c r="F127" s="22">
        <v>177.7</v>
      </c>
      <c r="G127" s="22">
        <v>177.7</v>
      </c>
    </row>
    <row r="128" spans="1:7" ht="31.5">
      <c r="A128" s="265" t="s">
        <v>21</v>
      </c>
      <c r="B128" s="265" t="s">
        <v>78</v>
      </c>
      <c r="C128" s="265">
        <v>9990259302</v>
      </c>
      <c r="D128" s="265"/>
      <c r="E128" s="256" t="s">
        <v>177</v>
      </c>
      <c r="F128" s="22">
        <f>F129+F131</f>
        <v>1965.3999999999996</v>
      </c>
      <c r="G128" s="22">
        <f aca="true" t="shared" si="49" ref="G128">G129+G131</f>
        <v>1965.4</v>
      </c>
    </row>
    <row r="129" spans="1:7" ht="63">
      <c r="A129" s="265" t="s">
        <v>21</v>
      </c>
      <c r="B129" s="265" t="s">
        <v>78</v>
      </c>
      <c r="C129" s="265">
        <v>9990259302</v>
      </c>
      <c r="D129" s="265" t="s">
        <v>71</v>
      </c>
      <c r="E129" s="256" t="s">
        <v>1</v>
      </c>
      <c r="F129" s="22">
        <f>F130</f>
        <v>1536.1999999999998</v>
      </c>
      <c r="G129" s="22">
        <f aca="true" t="shared" si="50" ref="G129">G130</f>
        <v>1536.2</v>
      </c>
    </row>
    <row r="130" spans="1:7" ht="31.5">
      <c r="A130" s="265" t="s">
        <v>21</v>
      </c>
      <c r="B130" s="265" t="s">
        <v>78</v>
      </c>
      <c r="C130" s="265">
        <v>9990259302</v>
      </c>
      <c r="D130" s="265">
        <v>120</v>
      </c>
      <c r="E130" s="256" t="s">
        <v>258</v>
      </c>
      <c r="F130" s="22">
        <f>1353.6+182.6</f>
        <v>1536.1999999999998</v>
      </c>
      <c r="G130" s="22">
        <v>1536.2</v>
      </c>
    </row>
    <row r="131" spans="1:7" ht="31.5">
      <c r="A131" s="265" t="s">
        <v>21</v>
      </c>
      <c r="B131" s="265" t="s">
        <v>78</v>
      </c>
      <c r="C131" s="265">
        <v>9990259302</v>
      </c>
      <c r="D131" s="265" t="s">
        <v>72</v>
      </c>
      <c r="E131" s="256" t="s">
        <v>95</v>
      </c>
      <c r="F131" s="22">
        <f>F132</f>
        <v>429.19999999999993</v>
      </c>
      <c r="G131" s="22">
        <f aca="true" t="shared" si="51" ref="G131">G132</f>
        <v>429.2</v>
      </c>
    </row>
    <row r="132" spans="1:7" ht="31.5">
      <c r="A132" s="265" t="s">
        <v>21</v>
      </c>
      <c r="B132" s="265" t="s">
        <v>78</v>
      </c>
      <c r="C132" s="265">
        <v>9990259302</v>
      </c>
      <c r="D132" s="265">
        <v>240</v>
      </c>
      <c r="E132" s="256" t="s">
        <v>257</v>
      </c>
      <c r="F132" s="22">
        <f>611.8-182.6</f>
        <v>429.19999999999993</v>
      </c>
      <c r="G132" s="22">
        <v>429.2</v>
      </c>
    </row>
    <row r="133" spans="1:7" ht="31.5">
      <c r="A133" s="265" t="s">
        <v>21</v>
      </c>
      <c r="B133" s="265" t="s">
        <v>50</v>
      </c>
      <c r="C133" s="265"/>
      <c r="D133" s="265"/>
      <c r="E133" s="256" t="s">
        <v>16</v>
      </c>
      <c r="F133" s="22">
        <f aca="true" t="shared" si="52" ref="F133:G138">F134</f>
        <v>7736.2</v>
      </c>
      <c r="G133" s="22">
        <f t="shared" si="52"/>
        <v>7736.2</v>
      </c>
    </row>
    <row r="134" spans="1:7" ht="31.5">
      <c r="A134" s="265" t="s">
        <v>21</v>
      </c>
      <c r="B134" s="265" t="s">
        <v>50</v>
      </c>
      <c r="C134" s="265">
        <v>1500000000</v>
      </c>
      <c r="D134" s="265"/>
      <c r="E134" s="256" t="s">
        <v>198</v>
      </c>
      <c r="F134" s="22">
        <f t="shared" si="52"/>
        <v>7736.2</v>
      </c>
      <c r="G134" s="22">
        <f t="shared" si="52"/>
        <v>7736.2</v>
      </c>
    </row>
    <row r="135" spans="1:7" ht="12.75">
      <c r="A135" s="265" t="s">
        <v>21</v>
      </c>
      <c r="B135" s="265" t="s">
        <v>50</v>
      </c>
      <c r="C135" s="265">
        <v>1510000000</v>
      </c>
      <c r="D135" s="265"/>
      <c r="E135" s="256" t="s">
        <v>167</v>
      </c>
      <c r="F135" s="22">
        <f t="shared" si="52"/>
        <v>7736.2</v>
      </c>
      <c r="G135" s="22">
        <f t="shared" si="52"/>
        <v>7736.2</v>
      </c>
    </row>
    <row r="136" spans="1:7" ht="47.25">
      <c r="A136" s="265" t="s">
        <v>21</v>
      </c>
      <c r="B136" s="265" t="s">
        <v>50</v>
      </c>
      <c r="C136" s="265">
        <v>1510100000</v>
      </c>
      <c r="D136" s="265"/>
      <c r="E136" s="256" t="s">
        <v>201</v>
      </c>
      <c r="F136" s="22">
        <f>F137</f>
        <v>7736.2</v>
      </c>
      <c r="G136" s="22">
        <f t="shared" si="52"/>
        <v>7736.2</v>
      </c>
    </row>
    <row r="137" spans="1:7" ht="31.5">
      <c r="A137" s="265" t="s">
        <v>21</v>
      </c>
      <c r="B137" s="265" t="s">
        <v>50</v>
      </c>
      <c r="C137" s="265">
        <v>1510120010</v>
      </c>
      <c r="D137" s="265"/>
      <c r="E137" s="256" t="s">
        <v>126</v>
      </c>
      <c r="F137" s="22">
        <f t="shared" si="52"/>
        <v>7736.2</v>
      </c>
      <c r="G137" s="22">
        <f t="shared" si="52"/>
        <v>7736.2</v>
      </c>
    </row>
    <row r="138" spans="1:7" ht="31.5">
      <c r="A138" s="265" t="s">
        <v>21</v>
      </c>
      <c r="B138" s="265" t="s">
        <v>50</v>
      </c>
      <c r="C138" s="265">
        <v>1510120010</v>
      </c>
      <c r="D138" s="265">
        <v>600</v>
      </c>
      <c r="E138" s="256" t="s">
        <v>86</v>
      </c>
      <c r="F138" s="22">
        <f t="shared" si="52"/>
        <v>7736.2</v>
      </c>
      <c r="G138" s="22">
        <f t="shared" si="52"/>
        <v>7736.2</v>
      </c>
    </row>
    <row r="139" spans="1:7" ht="12.75">
      <c r="A139" s="265" t="s">
        <v>21</v>
      </c>
      <c r="B139" s="265" t="s">
        <v>50</v>
      </c>
      <c r="C139" s="265">
        <v>1510120010</v>
      </c>
      <c r="D139" s="265">
        <v>610</v>
      </c>
      <c r="E139" s="256" t="s">
        <v>106</v>
      </c>
      <c r="F139" s="22">
        <v>7736.2</v>
      </c>
      <c r="G139" s="22">
        <v>7736.2</v>
      </c>
    </row>
    <row r="140" spans="1:7" ht="12.75">
      <c r="A140" s="265" t="s">
        <v>21</v>
      </c>
      <c r="B140" s="265" t="s">
        <v>59</v>
      </c>
      <c r="C140" s="265" t="s">
        <v>69</v>
      </c>
      <c r="D140" s="265" t="s">
        <v>69</v>
      </c>
      <c r="E140" s="50" t="s">
        <v>27</v>
      </c>
      <c r="F140" s="22">
        <f>F141+F148+F199</f>
        <v>92450.59999999999</v>
      </c>
      <c r="G140" s="22">
        <f>G141+G148+G199</f>
        <v>92048.3</v>
      </c>
    </row>
    <row r="141" spans="1:7" ht="12.75">
      <c r="A141" s="265" t="s">
        <v>21</v>
      </c>
      <c r="B141" s="18" t="s">
        <v>100</v>
      </c>
      <c r="C141" s="73"/>
      <c r="D141" s="73"/>
      <c r="E141" s="256" t="s">
        <v>101</v>
      </c>
      <c r="F141" s="22">
        <f aca="true" t="shared" si="53" ref="F141:G146">F142</f>
        <v>300.5</v>
      </c>
      <c r="G141" s="22">
        <f t="shared" si="53"/>
        <v>300.5</v>
      </c>
    </row>
    <row r="142" spans="1:7" ht="31.5">
      <c r="A142" s="265" t="s">
        <v>21</v>
      </c>
      <c r="B142" s="18" t="s">
        <v>100</v>
      </c>
      <c r="C142" s="265">
        <v>1100000000</v>
      </c>
      <c r="D142" s="73"/>
      <c r="E142" s="256" t="s">
        <v>202</v>
      </c>
      <c r="F142" s="22">
        <f t="shared" si="53"/>
        <v>300.5</v>
      </c>
      <c r="G142" s="22">
        <f t="shared" si="53"/>
        <v>300.5</v>
      </c>
    </row>
    <row r="143" spans="1:7" ht="31.5">
      <c r="A143" s="265" t="s">
        <v>21</v>
      </c>
      <c r="B143" s="18" t="s">
        <v>100</v>
      </c>
      <c r="C143" s="265">
        <v>1130000000</v>
      </c>
      <c r="D143" s="73"/>
      <c r="E143" s="256" t="s">
        <v>117</v>
      </c>
      <c r="F143" s="22">
        <f t="shared" si="53"/>
        <v>300.5</v>
      </c>
      <c r="G143" s="22">
        <f t="shared" si="53"/>
        <v>300.5</v>
      </c>
    </row>
    <row r="144" spans="1:7" ht="47.25">
      <c r="A144" s="265" t="s">
        <v>21</v>
      </c>
      <c r="B144" s="18" t="s">
        <v>100</v>
      </c>
      <c r="C144" s="265">
        <v>1130300000</v>
      </c>
      <c r="D144" s="73"/>
      <c r="E144" s="256" t="s">
        <v>118</v>
      </c>
      <c r="F144" s="22">
        <f t="shared" si="53"/>
        <v>300.5</v>
      </c>
      <c r="G144" s="22">
        <f t="shared" si="53"/>
        <v>300.5</v>
      </c>
    </row>
    <row r="145" spans="1:7" ht="31.5">
      <c r="A145" s="265" t="s">
        <v>21</v>
      </c>
      <c r="B145" s="18" t="s">
        <v>100</v>
      </c>
      <c r="C145" s="265">
        <v>1130320280</v>
      </c>
      <c r="D145" s="73"/>
      <c r="E145" s="256" t="s">
        <v>119</v>
      </c>
      <c r="F145" s="22">
        <f t="shared" si="53"/>
        <v>300.5</v>
      </c>
      <c r="G145" s="22">
        <f t="shared" si="53"/>
        <v>300.5</v>
      </c>
    </row>
    <row r="146" spans="1:7" ht="31.5">
      <c r="A146" s="265" t="s">
        <v>21</v>
      </c>
      <c r="B146" s="18" t="s">
        <v>100</v>
      </c>
      <c r="C146" s="265">
        <v>1130320280</v>
      </c>
      <c r="D146" s="265" t="s">
        <v>97</v>
      </c>
      <c r="E146" s="256" t="s">
        <v>98</v>
      </c>
      <c r="F146" s="22">
        <f t="shared" si="53"/>
        <v>300.5</v>
      </c>
      <c r="G146" s="22">
        <f t="shared" si="53"/>
        <v>300.5</v>
      </c>
    </row>
    <row r="147" spans="1:7" ht="12.75">
      <c r="A147" s="265" t="s">
        <v>21</v>
      </c>
      <c r="B147" s="18" t="s">
        <v>100</v>
      </c>
      <c r="C147" s="265">
        <v>1130320280</v>
      </c>
      <c r="D147" s="265">
        <v>610</v>
      </c>
      <c r="E147" s="256" t="s">
        <v>106</v>
      </c>
      <c r="F147" s="22">
        <f>275.7+24.8</f>
        <v>300.5</v>
      </c>
      <c r="G147" s="22">
        <v>300.5</v>
      </c>
    </row>
    <row r="148" spans="1:7" ht="12.75">
      <c r="A148" s="265" t="s">
        <v>21</v>
      </c>
      <c r="B148" s="265" t="s">
        <v>7</v>
      </c>
      <c r="C148" s="265" t="s">
        <v>69</v>
      </c>
      <c r="D148" s="265" t="s">
        <v>69</v>
      </c>
      <c r="E148" s="256" t="s">
        <v>90</v>
      </c>
      <c r="F148" s="22">
        <f>F149+F194</f>
        <v>90042.09999999999</v>
      </c>
      <c r="G148" s="22">
        <f aca="true" t="shared" si="54" ref="G148">G149+G194</f>
        <v>89639.8</v>
      </c>
    </row>
    <row r="149" spans="1:7" ht="47.25">
      <c r="A149" s="265" t="s">
        <v>21</v>
      </c>
      <c r="B149" s="265" t="s">
        <v>7</v>
      </c>
      <c r="C149" s="265">
        <v>1400000000</v>
      </c>
      <c r="D149" s="265"/>
      <c r="E149" s="256" t="s">
        <v>204</v>
      </c>
      <c r="F149" s="22">
        <f>F150+F179</f>
        <v>87416.59999999999</v>
      </c>
      <c r="G149" s="22">
        <f>G150+G179</f>
        <v>87014.3</v>
      </c>
    </row>
    <row r="150" spans="1:7" ht="12.75">
      <c r="A150" s="265" t="s">
        <v>21</v>
      </c>
      <c r="B150" s="265" t="s">
        <v>7</v>
      </c>
      <c r="C150" s="265">
        <v>1410000000</v>
      </c>
      <c r="D150" s="265"/>
      <c r="E150" s="256" t="s">
        <v>128</v>
      </c>
      <c r="F150" s="22">
        <f>F151+F155+F175+F165</f>
        <v>83297.29999999999</v>
      </c>
      <c r="G150" s="22">
        <f>G151+G155+G175+G165</f>
        <v>83047</v>
      </c>
    </row>
    <row r="151" spans="1:7" ht="12.75">
      <c r="A151" s="265" t="s">
        <v>21</v>
      </c>
      <c r="B151" s="265" t="s">
        <v>7</v>
      </c>
      <c r="C151" s="265">
        <v>1410100000</v>
      </c>
      <c r="D151" s="73"/>
      <c r="E151" s="256" t="s">
        <v>205</v>
      </c>
      <c r="F151" s="22">
        <f>F152</f>
        <v>25457.199999999997</v>
      </c>
      <c r="G151" s="22">
        <f aca="true" t="shared" si="55" ref="G151:G153">G152</f>
        <v>25457.2</v>
      </c>
    </row>
    <row r="152" spans="1:7" ht="31.5">
      <c r="A152" s="265" t="s">
        <v>21</v>
      </c>
      <c r="B152" s="265" t="s">
        <v>7</v>
      </c>
      <c r="C152" s="265">
        <v>1410120100</v>
      </c>
      <c r="D152" s="265"/>
      <c r="E152" s="256" t="s">
        <v>129</v>
      </c>
      <c r="F152" s="22">
        <f>F153</f>
        <v>25457.199999999997</v>
      </c>
      <c r="G152" s="22">
        <f t="shared" si="55"/>
        <v>25457.2</v>
      </c>
    </row>
    <row r="153" spans="1:7" ht="31.5">
      <c r="A153" s="265" t="s">
        <v>21</v>
      </c>
      <c r="B153" s="265" t="s">
        <v>7</v>
      </c>
      <c r="C153" s="265">
        <v>1410120100</v>
      </c>
      <c r="D153" s="265" t="s">
        <v>72</v>
      </c>
      <c r="E153" s="256" t="s">
        <v>95</v>
      </c>
      <c r="F153" s="22">
        <f>F154</f>
        <v>25457.199999999997</v>
      </c>
      <c r="G153" s="22">
        <f t="shared" si="55"/>
        <v>25457.2</v>
      </c>
    </row>
    <row r="154" spans="1:7" ht="31.5">
      <c r="A154" s="265" t="s">
        <v>21</v>
      </c>
      <c r="B154" s="265" t="s">
        <v>7</v>
      </c>
      <c r="C154" s="265">
        <v>1410120100</v>
      </c>
      <c r="D154" s="265">
        <v>240</v>
      </c>
      <c r="E154" s="256" t="s">
        <v>257</v>
      </c>
      <c r="F154" s="22">
        <f>21877.2+5300-69.2-161-10.4-1450-29.4</f>
        <v>25457.199999999997</v>
      </c>
      <c r="G154" s="22">
        <v>25457.2</v>
      </c>
    </row>
    <row r="155" spans="1:7" ht="47.25">
      <c r="A155" s="265" t="s">
        <v>21</v>
      </c>
      <c r="B155" s="265" t="s">
        <v>7</v>
      </c>
      <c r="C155" s="265">
        <v>1410200000</v>
      </c>
      <c r="D155" s="265"/>
      <c r="E155" s="256" t="s">
        <v>206</v>
      </c>
      <c r="F155" s="22">
        <f>F159+F156+F162</f>
        <v>48277.3</v>
      </c>
      <c r="G155" s="22">
        <f aca="true" t="shared" si="56" ref="G155">G159+G156+G162</f>
        <v>48277.3</v>
      </c>
    </row>
    <row r="156" spans="1:7" ht="31.5">
      <c r="A156" s="265" t="s">
        <v>21</v>
      </c>
      <c r="B156" s="265" t="s">
        <v>7</v>
      </c>
      <c r="C156" s="265">
        <v>1410211050</v>
      </c>
      <c r="D156" s="265"/>
      <c r="E156" s="256" t="s">
        <v>300</v>
      </c>
      <c r="F156" s="22">
        <f>F157</f>
        <v>36506.8</v>
      </c>
      <c r="G156" s="22">
        <f aca="true" t="shared" si="57" ref="G156:G157">G157</f>
        <v>36506.8</v>
      </c>
    </row>
    <row r="157" spans="1:7" ht="31.5">
      <c r="A157" s="265" t="s">
        <v>21</v>
      </c>
      <c r="B157" s="265" t="s">
        <v>7</v>
      </c>
      <c r="C157" s="265">
        <v>1410211050</v>
      </c>
      <c r="D157" s="265" t="s">
        <v>72</v>
      </c>
      <c r="E157" s="256" t="s">
        <v>95</v>
      </c>
      <c r="F157" s="22">
        <f>F158</f>
        <v>36506.8</v>
      </c>
      <c r="G157" s="22">
        <f t="shared" si="57"/>
        <v>36506.8</v>
      </c>
    </row>
    <row r="158" spans="1:7" ht="31.5">
      <c r="A158" s="265" t="s">
        <v>21</v>
      </c>
      <c r="B158" s="265" t="s">
        <v>7</v>
      </c>
      <c r="C158" s="265">
        <v>1410211050</v>
      </c>
      <c r="D158" s="265">
        <v>240</v>
      </c>
      <c r="E158" s="256" t="s">
        <v>257</v>
      </c>
      <c r="F158" s="22">
        <f>35892+614.8</f>
        <v>36506.8</v>
      </c>
      <c r="G158" s="22">
        <v>36506.8</v>
      </c>
    </row>
    <row r="159" spans="1:7" ht="12.75">
      <c r="A159" s="265" t="s">
        <v>21</v>
      </c>
      <c r="B159" s="265" t="s">
        <v>7</v>
      </c>
      <c r="C159" s="265">
        <v>1410220110</v>
      </c>
      <c r="D159" s="265"/>
      <c r="E159" s="73" t="s">
        <v>283</v>
      </c>
      <c r="F159" s="22">
        <f>F160</f>
        <v>1262</v>
      </c>
      <c r="G159" s="22">
        <f aca="true" t="shared" si="58" ref="G159:G160">G160</f>
        <v>1262</v>
      </c>
    </row>
    <row r="160" spans="1:7" ht="31.5">
      <c r="A160" s="265" t="s">
        <v>21</v>
      </c>
      <c r="B160" s="265" t="s">
        <v>7</v>
      </c>
      <c r="C160" s="265">
        <v>1410220110</v>
      </c>
      <c r="D160" s="265" t="s">
        <v>72</v>
      </c>
      <c r="E160" s="73" t="s">
        <v>95</v>
      </c>
      <c r="F160" s="22">
        <f>F161</f>
        <v>1262</v>
      </c>
      <c r="G160" s="22">
        <f t="shared" si="58"/>
        <v>1262</v>
      </c>
    </row>
    <row r="161" spans="1:7" ht="31.5">
      <c r="A161" s="265" t="s">
        <v>21</v>
      </c>
      <c r="B161" s="265" t="s">
        <v>7</v>
      </c>
      <c r="C161" s="265">
        <v>1410220110</v>
      </c>
      <c r="D161" s="265">
        <v>240</v>
      </c>
      <c r="E161" s="73" t="s">
        <v>257</v>
      </c>
      <c r="F161" s="22">
        <f>227.8+227+69.2+798-60</f>
        <v>1262</v>
      </c>
      <c r="G161" s="22">
        <v>1262</v>
      </c>
    </row>
    <row r="162" spans="1:7" ht="31.5">
      <c r="A162" s="265" t="s">
        <v>21</v>
      </c>
      <c r="B162" s="265" t="s">
        <v>7</v>
      </c>
      <c r="C162" s="265" t="s">
        <v>329</v>
      </c>
      <c r="D162" s="265"/>
      <c r="E162" s="256" t="s">
        <v>330</v>
      </c>
      <c r="F162" s="22">
        <f>F163</f>
        <v>10508.5</v>
      </c>
      <c r="G162" s="22">
        <f aca="true" t="shared" si="59" ref="G162:G163">G163</f>
        <v>10508.5</v>
      </c>
    </row>
    <row r="163" spans="1:7" ht="31.5">
      <c r="A163" s="265" t="s">
        <v>21</v>
      </c>
      <c r="B163" s="265" t="s">
        <v>7</v>
      </c>
      <c r="C163" s="265" t="s">
        <v>329</v>
      </c>
      <c r="D163" s="265" t="s">
        <v>72</v>
      </c>
      <c r="E163" s="256" t="s">
        <v>95</v>
      </c>
      <c r="F163" s="22">
        <f>F164</f>
        <v>10508.5</v>
      </c>
      <c r="G163" s="22">
        <f t="shared" si="59"/>
        <v>10508.5</v>
      </c>
    </row>
    <row r="164" spans="1:7" ht="31.5">
      <c r="A164" s="265" t="s">
        <v>21</v>
      </c>
      <c r="B164" s="265" t="s">
        <v>7</v>
      </c>
      <c r="C164" s="265" t="s">
        <v>329</v>
      </c>
      <c r="D164" s="265">
        <v>240</v>
      </c>
      <c r="E164" s="256" t="s">
        <v>257</v>
      </c>
      <c r="F164" s="22">
        <f>14654.7-5527+2957.3-1576.5</f>
        <v>10508.5</v>
      </c>
      <c r="G164" s="22">
        <v>10508.5</v>
      </c>
    </row>
    <row r="165" spans="1:7" ht="47.25">
      <c r="A165" s="265" t="s">
        <v>21</v>
      </c>
      <c r="B165" s="265" t="s">
        <v>7</v>
      </c>
      <c r="C165" s="265">
        <v>1410300000</v>
      </c>
      <c r="D165" s="265"/>
      <c r="E165" s="256" t="s">
        <v>285</v>
      </c>
      <c r="F165" s="22">
        <f>F166+F172+F169</f>
        <v>7201.900000000001</v>
      </c>
      <c r="G165" s="22">
        <f aca="true" t="shared" si="60" ref="G165">G166+G172+G169</f>
        <v>7201.7</v>
      </c>
    </row>
    <row r="166" spans="1:7" ht="47.25">
      <c r="A166" s="265" t="s">
        <v>21</v>
      </c>
      <c r="B166" s="265" t="s">
        <v>7</v>
      </c>
      <c r="C166" s="265">
        <v>1410311020</v>
      </c>
      <c r="D166" s="265"/>
      <c r="E166" s="256" t="s">
        <v>301</v>
      </c>
      <c r="F166" s="22">
        <f>F167</f>
        <v>5149.6</v>
      </c>
      <c r="G166" s="22">
        <f aca="true" t="shared" si="61" ref="G166:G167">G167</f>
        <v>5149.6</v>
      </c>
    </row>
    <row r="167" spans="1:7" ht="31.5">
      <c r="A167" s="265" t="s">
        <v>21</v>
      </c>
      <c r="B167" s="265" t="s">
        <v>7</v>
      </c>
      <c r="C167" s="265">
        <v>1410311020</v>
      </c>
      <c r="D167" s="265" t="s">
        <v>72</v>
      </c>
      <c r="E167" s="256" t="s">
        <v>95</v>
      </c>
      <c r="F167" s="22">
        <f>F168</f>
        <v>5149.6</v>
      </c>
      <c r="G167" s="22">
        <f t="shared" si="61"/>
        <v>5149.6</v>
      </c>
    </row>
    <row r="168" spans="1:7" ht="31.5">
      <c r="A168" s="265" t="s">
        <v>21</v>
      </c>
      <c r="B168" s="265" t="s">
        <v>7</v>
      </c>
      <c r="C168" s="265">
        <v>1410311020</v>
      </c>
      <c r="D168" s="265">
        <v>240</v>
      </c>
      <c r="E168" s="256" t="s">
        <v>257</v>
      </c>
      <c r="F168" s="22">
        <v>5149.6</v>
      </c>
      <c r="G168" s="22">
        <v>5149.6</v>
      </c>
    </row>
    <row r="169" spans="1:7" ht="12.75">
      <c r="A169" s="265" t="s">
        <v>21</v>
      </c>
      <c r="B169" s="265" t="s">
        <v>7</v>
      </c>
      <c r="C169" s="265">
        <v>1410320110</v>
      </c>
      <c r="D169" s="265"/>
      <c r="E169" s="73" t="s">
        <v>283</v>
      </c>
      <c r="F169" s="22">
        <f>F170</f>
        <v>63.6</v>
      </c>
      <c r="G169" s="22">
        <f aca="true" t="shared" si="62" ref="G169:G170">G170</f>
        <v>63.4</v>
      </c>
    </row>
    <row r="170" spans="1:7" ht="31.5">
      <c r="A170" s="265" t="s">
        <v>21</v>
      </c>
      <c r="B170" s="265" t="s">
        <v>7</v>
      </c>
      <c r="C170" s="265">
        <v>1410320110</v>
      </c>
      <c r="D170" s="265" t="s">
        <v>72</v>
      </c>
      <c r="E170" s="73" t="s">
        <v>95</v>
      </c>
      <c r="F170" s="22">
        <f>F171</f>
        <v>63.6</v>
      </c>
      <c r="G170" s="22">
        <f t="shared" si="62"/>
        <v>63.4</v>
      </c>
    </row>
    <row r="171" spans="1:7" ht="31.5">
      <c r="A171" s="265" t="s">
        <v>21</v>
      </c>
      <c r="B171" s="265" t="s">
        <v>7</v>
      </c>
      <c r="C171" s="265">
        <v>1410320110</v>
      </c>
      <c r="D171" s="265">
        <v>240</v>
      </c>
      <c r="E171" s="73" t="s">
        <v>257</v>
      </c>
      <c r="F171" s="22">
        <f>13.6+50</f>
        <v>63.6</v>
      </c>
      <c r="G171" s="22">
        <f>63.6-0.2</f>
        <v>63.4</v>
      </c>
    </row>
    <row r="172" spans="1:7" ht="47.25">
      <c r="A172" s="265" t="s">
        <v>21</v>
      </c>
      <c r="B172" s="265" t="s">
        <v>7</v>
      </c>
      <c r="C172" s="265" t="s">
        <v>331</v>
      </c>
      <c r="D172" s="265"/>
      <c r="E172" s="256" t="s">
        <v>332</v>
      </c>
      <c r="F172" s="22">
        <f>F173</f>
        <v>1988.7</v>
      </c>
      <c r="G172" s="22">
        <f aca="true" t="shared" si="63" ref="G172:G173">G173</f>
        <v>1988.7</v>
      </c>
    </row>
    <row r="173" spans="1:7" ht="31.5">
      <c r="A173" s="265" t="s">
        <v>21</v>
      </c>
      <c r="B173" s="265" t="s">
        <v>7</v>
      </c>
      <c r="C173" s="265" t="s">
        <v>331</v>
      </c>
      <c r="D173" s="265" t="s">
        <v>72</v>
      </c>
      <c r="E173" s="256" t="s">
        <v>95</v>
      </c>
      <c r="F173" s="22">
        <f>F174</f>
        <v>1988.7</v>
      </c>
      <c r="G173" s="22">
        <f t="shared" si="63"/>
        <v>1988.7</v>
      </c>
    </row>
    <row r="174" spans="1:7" ht="31.5">
      <c r="A174" s="265" t="s">
        <v>21</v>
      </c>
      <c r="B174" s="265" t="s">
        <v>7</v>
      </c>
      <c r="C174" s="265" t="s">
        <v>331</v>
      </c>
      <c r="D174" s="265">
        <v>240</v>
      </c>
      <c r="E174" s="256" t="s">
        <v>257</v>
      </c>
      <c r="F174" s="22">
        <f>2807+161-20-959.3</f>
        <v>1988.7</v>
      </c>
      <c r="G174" s="22">
        <v>1988.7</v>
      </c>
    </row>
    <row r="175" spans="1:7" ht="31.5">
      <c r="A175" s="265" t="s">
        <v>21</v>
      </c>
      <c r="B175" s="265" t="s">
        <v>7</v>
      </c>
      <c r="C175" s="265">
        <v>1410400000</v>
      </c>
      <c r="D175" s="265"/>
      <c r="E175" s="256" t="s">
        <v>495</v>
      </c>
      <c r="F175" s="22">
        <f>F176</f>
        <v>2360.8999999999996</v>
      </c>
      <c r="G175" s="22">
        <f aca="true" t="shared" si="64" ref="G175">G176</f>
        <v>2110.7999999999997</v>
      </c>
    </row>
    <row r="176" spans="1:7" ht="31.5">
      <c r="A176" s="265" t="s">
        <v>21</v>
      </c>
      <c r="B176" s="265" t="s">
        <v>7</v>
      </c>
      <c r="C176" s="265">
        <v>1410420010</v>
      </c>
      <c r="D176" s="265"/>
      <c r="E176" s="73" t="s">
        <v>291</v>
      </c>
      <c r="F176" s="22">
        <f>F177</f>
        <v>2360.8999999999996</v>
      </c>
      <c r="G176" s="22">
        <f aca="true" t="shared" si="65" ref="G176:G177">G177</f>
        <v>2110.7999999999997</v>
      </c>
    </row>
    <row r="177" spans="1:7" ht="31.5">
      <c r="A177" s="265" t="s">
        <v>21</v>
      </c>
      <c r="B177" s="265" t="s">
        <v>7</v>
      </c>
      <c r="C177" s="265">
        <v>1410420010</v>
      </c>
      <c r="D177" s="265" t="s">
        <v>75</v>
      </c>
      <c r="E177" s="73" t="s">
        <v>96</v>
      </c>
      <c r="F177" s="22">
        <f>F178</f>
        <v>2360.8999999999996</v>
      </c>
      <c r="G177" s="22">
        <f t="shared" si="65"/>
        <v>2110.7999999999997</v>
      </c>
    </row>
    <row r="178" spans="1:7" ht="12.75">
      <c r="A178" s="265" t="s">
        <v>21</v>
      </c>
      <c r="B178" s="265" t="s">
        <v>7</v>
      </c>
      <c r="C178" s="265">
        <v>1410420010</v>
      </c>
      <c r="D178" s="265" t="s">
        <v>122</v>
      </c>
      <c r="E178" s="73" t="s">
        <v>123</v>
      </c>
      <c r="F178" s="22">
        <f>2279.7+250-168.8</f>
        <v>2360.8999999999996</v>
      </c>
      <c r="G178" s="22">
        <f>2110.7+0.1</f>
        <v>2110.7999999999997</v>
      </c>
    </row>
    <row r="179" spans="1:7" ht="12.75">
      <c r="A179" s="265" t="s">
        <v>21</v>
      </c>
      <c r="B179" s="265" t="s">
        <v>7</v>
      </c>
      <c r="C179" s="265">
        <v>1420000000</v>
      </c>
      <c r="D179" s="265"/>
      <c r="E179" s="256" t="s">
        <v>130</v>
      </c>
      <c r="F179" s="22">
        <f>F180+F184</f>
        <v>4119.3</v>
      </c>
      <c r="G179" s="22">
        <f aca="true" t="shared" si="66" ref="G179">G180+G184</f>
        <v>3967.2999999999997</v>
      </c>
    </row>
    <row r="180" spans="1:7" ht="31.5">
      <c r="A180" s="265" t="s">
        <v>21</v>
      </c>
      <c r="B180" s="265" t="s">
        <v>7</v>
      </c>
      <c r="C180" s="265">
        <v>1420100000</v>
      </c>
      <c r="D180" s="265"/>
      <c r="E180" s="256" t="s">
        <v>207</v>
      </c>
      <c r="F180" s="22">
        <f>F181</f>
        <v>773.5000000000002</v>
      </c>
      <c r="G180" s="22">
        <f aca="true" t="shared" si="67" ref="G180">G181</f>
        <v>773.5</v>
      </c>
    </row>
    <row r="181" spans="1:7" ht="12.75">
      <c r="A181" s="265" t="s">
        <v>21</v>
      </c>
      <c r="B181" s="265" t="s">
        <v>7</v>
      </c>
      <c r="C181" s="265">
        <v>1420120120</v>
      </c>
      <c r="D181" s="265"/>
      <c r="E181" s="256" t="s">
        <v>131</v>
      </c>
      <c r="F181" s="22">
        <f>F182</f>
        <v>773.5000000000002</v>
      </c>
      <c r="G181" s="22">
        <f aca="true" t="shared" si="68" ref="G181:G182">G182</f>
        <v>773.5</v>
      </c>
    </row>
    <row r="182" spans="1:7" ht="31.5">
      <c r="A182" s="265" t="s">
        <v>21</v>
      </c>
      <c r="B182" s="265" t="s">
        <v>7</v>
      </c>
      <c r="C182" s="265">
        <v>1420120120</v>
      </c>
      <c r="D182" s="265" t="s">
        <v>72</v>
      </c>
      <c r="E182" s="256" t="s">
        <v>95</v>
      </c>
      <c r="F182" s="22">
        <f>F183</f>
        <v>773.5000000000002</v>
      </c>
      <c r="G182" s="22">
        <f t="shared" si="68"/>
        <v>773.5</v>
      </c>
    </row>
    <row r="183" spans="1:7" ht="31.5">
      <c r="A183" s="265" t="s">
        <v>21</v>
      </c>
      <c r="B183" s="265" t="s">
        <v>7</v>
      </c>
      <c r="C183" s="265">
        <v>1420120120</v>
      </c>
      <c r="D183" s="265">
        <v>240</v>
      </c>
      <c r="E183" s="256" t="s">
        <v>257</v>
      </c>
      <c r="F183" s="22">
        <f>1051.9-13.6-264.8</f>
        <v>773.5000000000002</v>
      </c>
      <c r="G183" s="22">
        <v>773.5</v>
      </c>
    </row>
    <row r="184" spans="1:7" ht="47.25">
      <c r="A184" s="265" t="s">
        <v>21</v>
      </c>
      <c r="B184" s="265" t="s">
        <v>7</v>
      </c>
      <c r="C184" s="265" t="s">
        <v>302</v>
      </c>
      <c r="D184" s="265"/>
      <c r="E184" s="256" t="s">
        <v>303</v>
      </c>
      <c r="F184" s="22">
        <f>F185+F191+F188</f>
        <v>3345.8</v>
      </c>
      <c r="G184" s="22">
        <f aca="true" t="shared" si="69" ref="G184">G185+G191+G188</f>
        <v>3193.7999999999997</v>
      </c>
    </row>
    <row r="185" spans="1:7" ht="47.25">
      <c r="A185" s="265" t="s">
        <v>21</v>
      </c>
      <c r="B185" s="265" t="s">
        <v>7</v>
      </c>
      <c r="C185" s="265" t="s">
        <v>304</v>
      </c>
      <c r="D185" s="265"/>
      <c r="E185" s="256" t="s">
        <v>305</v>
      </c>
      <c r="F185" s="22">
        <f>F186</f>
        <v>2668.3</v>
      </c>
      <c r="G185" s="22">
        <f aca="true" t="shared" si="70" ref="G185:G186">G186</f>
        <v>2546.7</v>
      </c>
    </row>
    <row r="186" spans="1:7" ht="31.5">
      <c r="A186" s="265" t="s">
        <v>21</v>
      </c>
      <c r="B186" s="265" t="s">
        <v>7</v>
      </c>
      <c r="C186" s="265" t="s">
        <v>304</v>
      </c>
      <c r="D186" s="265" t="s">
        <v>72</v>
      </c>
      <c r="E186" s="256" t="s">
        <v>95</v>
      </c>
      <c r="F186" s="22">
        <f>F187</f>
        <v>2668.3</v>
      </c>
      <c r="G186" s="22">
        <f t="shared" si="70"/>
        <v>2546.7</v>
      </c>
    </row>
    <row r="187" spans="1:7" ht="31.5">
      <c r="A187" s="265" t="s">
        <v>21</v>
      </c>
      <c r="B187" s="265" t="s">
        <v>7</v>
      </c>
      <c r="C187" s="265" t="s">
        <v>304</v>
      </c>
      <c r="D187" s="265">
        <v>240</v>
      </c>
      <c r="E187" s="256" t="s">
        <v>257</v>
      </c>
      <c r="F187" s="22">
        <v>2668.3</v>
      </c>
      <c r="G187" s="22">
        <v>2546.7</v>
      </c>
    </row>
    <row r="188" spans="1:7" ht="12.75">
      <c r="A188" s="265" t="s">
        <v>21</v>
      </c>
      <c r="B188" s="265" t="s">
        <v>7</v>
      </c>
      <c r="C188" s="265" t="s">
        <v>383</v>
      </c>
      <c r="D188" s="265"/>
      <c r="E188" s="73" t="s">
        <v>283</v>
      </c>
      <c r="F188" s="22">
        <f>F189</f>
        <v>10.4</v>
      </c>
      <c r="G188" s="22">
        <f aca="true" t="shared" si="71" ref="G188:G189">G189</f>
        <v>10.4</v>
      </c>
    </row>
    <row r="189" spans="1:7" ht="31.5">
      <c r="A189" s="265" t="s">
        <v>21</v>
      </c>
      <c r="B189" s="265" t="s">
        <v>7</v>
      </c>
      <c r="C189" s="265" t="s">
        <v>383</v>
      </c>
      <c r="D189" s="265" t="s">
        <v>72</v>
      </c>
      <c r="E189" s="256" t="s">
        <v>95</v>
      </c>
      <c r="F189" s="22">
        <f>F190</f>
        <v>10.4</v>
      </c>
      <c r="G189" s="22">
        <f t="shared" si="71"/>
        <v>10.4</v>
      </c>
    </row>
    <row r="190" spans="1:7" ht="31.5">
      <c r="A190" s="265" t="s">
        <v>21</v>
      </c>
      <c r="B190" s="265" t="s">
        <v>7</v>
      </c>
      <c r="C190" s="265" t="s">
        <v>383</v>
      </c>
      <c r="D190" s="265">
        <v>240</v>
      </c>
      <c r="E190" s="256" t="s">
        <v>257</v>
      </c>
      <c r="F190" s="22">
        <v>10.4</v>
      </c>
      <c r="G190" s="22">
        <v>10.4</v>
      </c>
    </row>
    <row r="191" spans="1:7" ht="47.25">
      <c r="A191" s="265" t="s">
        <v>21</v>
      </c>
      <c r="B191" s="265" t="s">
        <v>7</v>
      </c>
      <c r="C191" s="265" t="s">
        <v>290</v>
      </c>
      <c r="D191" s="265"/>
      <c r="E191" s="256" t="s">
        <v>284</v>
      </c>
      <c r="F191" s="22">
        <f>F192</f>
        <v>667.1</v>
      </c>
      <c r="G191" s="22">
        <f aca="true" t="shared" si="72" ref="G191:G192">G192</f>
        <v>636.7</v>
      </c>
    </row>
    <row r="192" spans="1:7" ht="31.5">
      <c r="A192" s="265" t="s">
        <v>21</v>
      </c>
      <c r="B192" s="265" t="s">
        <v>7</v>
      </c>
      <c r="C192" s="265" t="s">
        <v>290</v>
      </c>
      <c r="D192" s="265" t="s">
        <v>72</v>
      </c>
      <c r="E192" s="256" t="s">
        <v>95</v>
      </c>
      <c r="F192" s="22">
        <f>F193</f>
        <v>667.1</v>
      </c>
      <c r="G192" s="22">
        <f t="shared" si="72"/>
        <v>636.7</v>
      </c>
    </row>
    <row r="193" spans="1:7" ht="31.5">
      <c r="A193" s="265" t="s">
        <v>21</v>
      </c>
      <c r="B193" s="265" t="s">
        <v>7</v>
      </c>
      <c r="C193" s="265" t="s">
        <v>290</v>
      </c>
      <c r="D193" s="265">
        <v>240</v>
      </c>
      <c r="E193" s="256" t="s">
        <v>257</v>
      </c>
      <c r="F193" s="22">
        <v>667.1</v>
      </c>
      <c r="G193" s="22">
        <v>636.7</v>
      </c>
    </row>
    <row r="194" spans="1:7" ht="12.75">
      <c r="A194" s="265" t="s">
        <v>21</v>
      </c>
      <c r="B194" s="265" t="s">
        <v>7</v>
      </c>
      <c r="C194" s="265" t="s">
        <v>112</v>
      </c>
      <c r="D194" s="265" t="s">
        <v>69</v>
      </c>
      <c r="E194" s="73" t="s">
        <v>107</v>
      </c>
      <c r="F194" s="22">
        <f>F195</f>
        <v>2625.5</v>
      </c>
      <c r="G194" s="22">
        <f aca="true" t="shared" si="73" ref="G194:G197">G195</f>
        <v>2625.5</v>
      </c>
    </row>
    <row r="195" spans="1:7" ht="31.5">
      <c r="A195" s="265" t="s">
        <v>21</v>
      </c>
      <c r="B195" s="265" t="s">
        <v>7</v>
      </c>
      <c r="C195" s="265">
        <v>9930000000</v>
      </c>
      <c r="D195" s="265"/>
      <c r="E195" s="73" t="s">
        <v>173</v>
      </c>
      <c r="F195" s="22">
        <f>F196</f>
        <v>2625.5</v>
      </c>
      <c r="G195" s="22">
        <f t="shared" si="73"/>
        <v>2625.5</v>
      </c>
    </row>
    <row r="196" spans="1:7" ht="31.5">
      <c r="A196" s="265" t="s">
        <v>21</v>
      </c>
      <c r="B196" s="265" t="s">
        <v>7</v>
      </c>
      <c r="C196" s="265">
        <v>9930020490</v>
      </c>
      <c r="D196" s="265"/>
      <c r="E196" s="73" t="s">
        <v>334</v>
      </c>
      <c r="F196" s="22">
        <f>F197</f>
        <v>2625.5</v>
      </c>
      <c r="G196" s="22">
        <f t="shared" si="73"/>
        <v>2625.5</v>
      </c>
    </row>
    <row r="197" spans="1:7" ht="12.75">
      <c r="A197" s="265" t="s">
        <v>21</v>
      </c>
      <c r="B197" s="265" t="s">
        <v>7</v>
      </c>
      <c r="C197" s="265">
        <v>9930020490</v>
      </c>
      <c r="D197" s="11" t="s">
        <v>73</v>
      </c>
      <c r="E197" s="50" t="s">
        <v>74</v>
      </c>
      <c r="F197" s="22">
        <f>F198</f>
        <v>2625.5</v>
      </c>
      <c r="G197" s="22">
        <f t="shared" si="73"/>
        <v>2625.5</v>
      </c>
    </row>
    <row r="198" spans="1:7" ht="12.75">
      <c r="A198" s="265" t="s">
        <v>21</v>
      </c>
      <c r="B198" s="265" t="s">
        <v>7</v>
      </c>
      <c r="C198" s="265">
        <v>9930020490</v>
      </c>
      <c r="D198" s="2" t="s">
        <v>335</v>
      </c>
      <c r="E198" s="81" t="s">
        <v>336</v>
      </c>
      <c r="F198" s="22">
        <f>2100+576.5-51</f>
        <v>2625.5</v>
      </c>
      <c r="G198" s="22">
        <v>2625.5</v>
      </c>
    </row>
    <row r="199" spans="1:7" ht="12.75">
      <c r="A199" s="265" t="s">
        <v>21</v>
      </c>
      <c r="B199" s="265" t="s">
        <v>51</v>
      </c>
      <c r="C199" s="265" t="s">
        <v>69</v>
      </c>
      <c r="D199" s="265" t="s">
        <v>69</v>
      </c>
      <c r="E199" s="256" t="s">
        <v>28</v>
      </c>
      <c r="F199" s="22">
        <f aca="true" t="shared" si="74" ref="F199:G204">F200</f>
        <v>2108</v>
      </c>
      <c r="G199" s="22">
        <f t="shared" si="74"/>
        <v>2108</v>
      </c>
    </row>
    <row r="200" spans="1:7" ht="47.25">
      <c r="A200" s="265" t="s">
        <v>21</v>
      </c>
      <c r="B200" s="265" t="s">
        <v>51</v>
      </c>
      <c r="C200" s="265">
        <v>1600000000</v>
      </c>
      <c r="D200" s="73"/>
      <c r="E200" s="256" t="s">
        <v>116</v>
      </c>
      <c r="F200" s="22">
        <f>F201</f>
        <v>2108</v>
      </c>
      <c r="G200" s="22">
        <f t="shared" si="74"/>
        <v>2108</v>
      </c>
    </row>
    <row r="201" spans="1:7" ht="31.5">
      <c r="A201" s="265" t="s">
        <v>21</v>
      </c>
      <c r="B201" s="265" t="s">
        <v>51</v>
      </c>
      <c r="C201" s="265">
        <v>1610000000</v>
      </c>
      <c r="D201" s="265"/>
      <c r="E201" s="256" t="s">
        <v>234</v>
      </c>
      <c r="F201" s="22">
        <f>F202</f>
        <v>2108</v>
      </c>
      <c r="G201" s="22">
        <f t="shared" si="74"/>
        <v>2108</v>
      </c>
    </row>
    <row r="202" spans="1:7" ht="47.25">
      <c r="A202" s="265" t="s">
        <v>21</v>
      </c>
      <c r="B202" s="265" t="s">
        <v>51</v>
      </c>
      <c r="C202" s="265">
        <v>1610100000</v>
      </c>
      <c r="D202" s="265"/>
      <c r="E202" s="256" t="s">
        <v>208</v>
      </c>
      <c r="F202" s="22">
        <f t="shared" si="74"/>
        <v>2108</v>
      </c>
      <c r="G202" s="22">
        <f t="shared" si="74"/>
        <v>2108</v>
      </c>
    </row>
    <row r="203" spans="1:7" ht="31.5">
      <c r="A203" s="265" t="s">
        <v>21</v>
      </c>
      <c r="B203" s="265" t="s">
        <v>51</v>
      </c>
      <c r="C203" s="265">
        <v>1610120010</v>
      </c>
      <c r="D203" s="265"/>
      <c r="E203" s="256" t="s">
        <v>126</v>
      </c>
      <c r="F203" s="22">
        <f t="shared" si="74"/>
        <v>2108</v>
      </c>
      <c r="G203" s="22">
        <f t="shared" si="74"/>
        <v>2108</v>
      </c>
    </row>
    <row r="204" spans="1:7" ht="31.5">
      <c r="A204" s="265" t="s">
        <v>21</v>
      </c>
      <c r="B204" s="265" t="s">
        <v>51</v>
      </c>
      <c r="C204" s="265">
        <v>1610120010</v>
      </c>
      <c r="D204" s="265" t="s">
        <v>97</v>
      </c>
      <c r="E204" s="256" t="s">
        <v>98</v>
      </c>
      <c r="F204" s="22">
        <f t="shared" si="74"/>
        <v>2108</v>
      </c>
      <c r="G204" s="22">
        <f t="shared" si="74"/>
        <v>2108</v>
      </c>
    </row>
    <row r="205" spans="1:7" ht="12.75">
      <c r="A205" s="265" t="s">
        <v>21</v>
      </c>
      <c r="B205" s="265" t="s">
        <v>51</v>
      </c>
      <c r="C205" s="265">
        <v>1610120010</v>
      </c>
      <c r="D205" s="265">
        <v>610</v>
      </c>
      <c r="E205" s="256" t="s">
        <v>106</v>
      </c>
      <c r="F205" s="22">
        <f>2341.7-233.7</f>
        <v>2108</v>
      </c>
      <c r="G205" s="22">
        <v>2108</v>
      </c>
    </row>
    <row r="206" spans="1:7" ht="12.75">
      <c r="A206" s="265" t="s">
        <v>21</v>
      </c>
      <c r="B206" s="265" t="s">
        <v>60</v>
      </c>
      <c r="C206" s="265" t="s">
        <v>69</v>
      </c>
      <c r="D206" s="265" t="s">
        <v>69</v>
      </c>
      <c r="E206" s="50" t="s">
        <v>29</v>
      </c>
      <c r="F206" s="22">
        <f>F218+F207</f>
        <v>39335.700000000004</v>
      </c>
      <c r="G206" s="22">
        <f>G218+G207</f>
        <v>39286.700000000004</v>
      </c>
    </row>
    <row r="207" spans="1:7" ht="12.75">
      <c r="A207" s="265" t="s">
        <v>21</v>
      </c>
      <c r="B207" s="18" t="s">
        <v>293</v>
      </c>
      <c r="C207" s="265"/>
      <c r="D207" s="265"/>
      <c r="E207" s="302" t="s">
        <v>294</v>
      </c>
      <c r="F207" s="22">
        <f>F208</f>
        <v>2359</v>
      </c>
      <c r="G207" s="22">
        <f>G208</f>
        <v>2357</v>
      </c>
    </row>
    <row r="208" spans="1:7" ht="47.25">
      <c r="A208" s="265" t="s">
        <v>21</v>
      </c>
      <c r="B208" s="18" t="s">
        <v>293</v>
      </c>
      <c r="C208" s="265">
        <v>1400000000</v>
      </c>
      <c r="D208" s="265"/>
      <c r="E208" s="73" t="s">
        <v>204</v>
      </c>
      <c r="F208" s="22">
        <f>F209</f>
        <v>2359</v>
      </c>
      <c r="G208" s="22">
        <f aca="true" t="shared" si="75" ref="G208">G209</f>
        <v>2357</v>
      </c>
    </row>
    <row r="209" spans="1:7" ht="12.75">
      <c r="A209" s="265" t="s">
        <v>21</v>
      </c>
      <c r="B209" s="18" t="s">
        <v>293</v>
      </c>
      <c r="C209" s="265">
        <v>1430000000</v>
      </c>
      <c r="D209" s="265"/>
      <c r="E209" s="8" t="s">
        <v>295</v>
      </c>
      <c r="F209" s="22">
        <f>F210+F214</f>
        <v>2359</v>
      </c>
      <c r="G209" s="22">
        <f>G210+G214</f>
        <v>2357</v>
      </c>
    </row>
    <row r="210" spans="1:7" ht="31.5">
      <c r="A210" s="265" t="s">
        <v>21</v>
      </c>
      <c r="B210" s="18" t="s">
        <v>293</v>
      </c>
      <c r="C210" s="265">
        <v>1430100000</v>
      </c>
      <c r="D210" s="265"/>
      <c r="E210" s="8" t="s">
        <v>296</v>
      </c>
      <c r="F210" s="22">
        <f>F211</f>
        <v>789</v>
      </c>
      <c r="G210" s="22">
        <f aca="true" t="shared" si="76" ref="G210">G211</f>
        <v>789</v>
      </c>
    </row>
    <row r="211" spans="1:7" ht="12.75">
      <c r="A211" s="265" t="s">
        <v>21</v>
      </c>
      <c r="B211" s="18" t="s">
        <v>293</v>
      </c>
      <c r="C211" s="265">
        <v>1430120100</v>
      </c>
      <c r="D211" s="265"/>
      <c r="E211" s="50" t="s">
        <v>297</v>
      </c>
      <c r="F211" s="22">
        <f>F212</f>
        <v>789</v>
      </c>
      <c r="G211" s="22">
        <f aca="true" t="shared" si="77" ref="G211:G212">G212</f>
        <v>789</v>
      </c>
    </row>
    <row r="212" spans="1:7" ht="31.5">
      <c r="A212" s="265" t="s">
        <v>21</v>
      </c>
      <c r="B212" s="18" t="s">
        <v>293</v>
      </c>
      <c r="C212" s="265">
        <v>1430120100</v>
      </c>
      <c r="D212" s="265" t="s">
        <v>75</v>
      </c>
      <c r="E212" s="73" t="s">
        <v>96</v>
      </c>
      <c r="F212" s="22">
        <f>F213</f>
        <v>789</v>
      </c>
      <c r="G212" s="22">
        <f t="shared" si="77"/>
        <v>789</v>
      </c>
    </row>
    <row r="213" spans="1:7" ht="12.75">
      <c r="A213" s="265" t="s">
        <v>21</v>
      </c>
      <c r="B213" s="18" t="s">
        <v>293</v>
      </c>
      <c r="C213" s="265">
        <v>1430120100</v>
      </c>
      <c r="D213" s="265" t="s">
        <v>122</v>
      </c>
      <c r="E213" s="73" t="s">
        <v>123</v>
      </c>
      <c r="F213" s="22">
        <f>1023.6-234.6</f>
        <v>789</v>
      </c>
      <c r="G213" s="22">
        <v>789</v>
      </c>
    </row>
    <row r="214" spans="1:7" ht="31.5">
      <c r="A214" s="265" t="s">
        <v>21</v>
      </c>
      <c r="B214" s="18" t="s">
        <v>293</v>
      </c>
      <c r="C214" s="265">
        <v>1430400000</v>
      </c>
      <c r="D214" s="265"/>
      <c r="E214" s="73" t="s">
        <v>386</v>
      </c>
      <c r="F214" s="22">
        <f>F215</f>
        <v>1570</v>
      </c>
      <c r="G214" s="22">
        <f aca="true" t="shared" si="78" ref="G214:G216">G215</f>
        <v>1568</v>
      </c>
    </row>
    <row r="215" spans="1:7" ht="12.75">
      <c r="A215" s="265" t="s">
        <v>21</v>
      </c>
      <c r="B215" s="18" t="s">
        <v>293</v>
      </c>
      <c r="C215" s="265">
        <v>1430420100</v>
      </c>
      <c r="D215" s="265"/>
      <c r="E215" s="73" t="s">
        <v>297</v>
      </c>
      <c r="F215" s="22">
        <f>F216</f>
        <v>1570</v>
      </c>
      <c r="G215" s="22">
        <f t="shared" si="78"/>
        <v>1568</v>
      </c>
    </row>
    <row r="216" spans="1:7" ht="31.5">
      <c r="A216" s="265" t="s">
        <v>21</v>
      </c>
      <c r="B216" s="18" t="s">
        <v>293</v>
      </c>
      <c r="C216" s="265">
        <v>1430420100</v>
      </c>
      <c r="D216" s="265" t="s">
        <v>75</v>
      </c>
      <c r="E216" s="73" t="s">
        <v>96</v>
      </c>
      <c r="F216" s="22">
        <f>F217</f>
        <v>1570</v>
      </c>
      <c r="G216" s="22">
        <f t="shared" si="78"/>
        <v>1568</v>
      </c>
    </row>
    <row r="217" spans="1:7" ht="12.75">
      <c r="A217" s="265" t="s">
        <v>21</v>
      </c>
      <c r="B217" s="18" t="s">
        <v>293</v>
      </c>
      <c r="C217" s="265">
        <v>1430420100</v>
      </c>
      <c r="D217" s="265" t="s">
        <v>122</v>
      </c>
      <c r="E217" s="73" t="s">
        <v>123</v>
      </c>
      <c r="F217" s="22">
        <f>1800-230</f>
        <v>1570</v>
      </c>
      <c r="G217" s="22">
        <v>1568</v>
      </c>
    </row>
    <row r="218" spans="1:7" ht="12.75">
      <c r="A218" s="265" t="s">
        <v>21</v>
      </c>
      <c r="B218" s="265" t="s">
        <v>52</v>
      </c>
      <c r="C218" s="265" t="s">
        <v>69</v>
      </c>
      <c r="D218" s="265" t="s">
        <v>69</v>
      </c>
      <c r="E218" s="256" t="s">
        <v>30</v>
      </c>
      <c r="F218" s="22">
        <f>F219+F263</f>
        <v>36976.700000000004</v>
      </c>
      <c r="G218" s="22">
        <f aca="true" t="shared" si="79" ref="G218">G219+G263</f>
        <v>36929.700000000004</v>
      </c>
    </row>
    <row r="219" spans="1:7" ht="34.15" customHeight="1">
      <c r="A219" s="265" t="s">
        <v>21</v>
      </c>
      <c r="B219" s="265" t="s">
        <v>52</v>
      </c>
      <c r="C219" s="265">
        <v>1300000000</v>
      </c>
      <c r="D219" s="265"/>
      <c r="E219" s="256" t="s">
        <v>203</v>
      </c>
      <c r="F219" s="22">
        <f>F220+F235+F255</f>
        <v>36684.3</v>
      </c>
      <c r="G219" s="22">
        <f>G220+G235+G255</f>
        <v>36637.3</v>
      </c>
    </row>
    <row r="220" spans="1:7" ht="47.25">
      <c r="A220" s="265" t="s">
        <v>21</v>
      </c>
      <c r="B220" s="265" t="s">
        <v>52</v>
      </c>
      <c r="C220" s="265">
        <v>1310000000</v>
      </c>
      <c r="D220" s="265"/>
      <c r="E220" s="256" t="s">
        <v>243</v>
      </c>
      <c r="F220" s="22">
        <f>F221+F228</f>
        <v>17359.7</v>
      </c>
      <c r="G220" s="22">
        <f aca="true" t="shared" si="80" ref="G220">G221+G228</f>
        <v>17314.1</v>
      </c>
    </row>
    <row r="221" spans="1:7" ht="47.25">
      <c r="A221" s="265" t="s">
        <v>21</v>
      </c>
      <c r="B221" s="265" t="s">
        <v>52</v>
      </c>
      <c r="C221" s="265" t="s">
        <v>276</v>
      </c>
      <c r="D221" s="73"/>
      <c r="E221" s="256" t="s">
        <v>272</v>
      </c>
      <c r="F221" s="22">
        <f>F225+F222</f>
        <v>16280.8</v>
      </c>
      <c r="G221" s="22">
        <f aca="true" t="shared" si="81" ref="G221">G225+G222</f>
        <v>16280.199999999999</v>
      </c>
    </row>
    <row r="222" spans="1:7" ht="12.75">
      <c r="A222" s="265" t="s">
        <v>21</v>
      </c>
      <c r="B222" s="265" t="s">
        <v>52</v>
      </c>
      <c r="C222" s="265" t="s">
        <v>289</v>
      </c>
      <c r="D222" s="265"/>
      <c r="E222" s="93" t="s">
        <v>282</v>
      </c>
      <c r="F222" s="22">
        <f>F223</f>
        <v>1184.8</v>
      </c>
      <c r="G222" s="22">
        <f aca="true" t="shared" si="82" ref="G222:G223">G223</f>
        <v>1184.3</v>
      </c>
    </row>
    <row r="223" spans="1:7" ht="31.5">
      <c r="A223" s="265" t="s">
        <v>21</v>
      </c>
      <c r="B223" s="265" t="s">
        <v>52</v>
      </c>
      <c r="C223" s="265" t="s">
        <v>289</v>
      </c>
      <c r="D223" s="265" t="s">
        <v>72</v>
      </c>
      <c r="E223" s="73" t="s">
        <v>95</v>
      </c>
      <c r="F223" s="22">
        <f>F224</f>
        <v>1184.8</v>
      </c>
      <c r="G223" s="22">
        <f t="shared" si="82"/>
        <v>1184.3</v>
      </c>
    </row>
    <row r="224" spans="1:7" ht="31.5">
      <c r="A224" s="265" t="s">
        <v>21</v>
      </c>
      <c r="B224" s="265" t="s">
        <v>52</v>
      </c>
      <c r="C224" s="265" t="s">
        <v>289</v>
      </c>
      <c r="D224" s="265">
        <v>240</v>
      </c>
      <c r="E224" s="73" t="s">
        <v>257</v>
      </c>
      <c r="F224" s="22">
        <f>612.1+275.5+206.2+15.6+75.4</f>
        <v>1184.8</v>
      </c>
      <c r="G224" s="22">
        <v>1184.3</v>
      </c>
    </row>
    <row r="225" spans="1:7" ht="12.75">
      <c r="A225" s="265" t="s">
        <v>21</v>
      </c>
      <c r="B225" s="265" t="s">
        <v>52</v>
      </c>
      <c r="C225" s="265" t="s">
        <v>277</v>
      </c>
      <c r="D225" s="265"/>
      <c r="E225" s="294" t="s">
        <v>253</v>
      </c>
      <c r="F225" s="22">
        <f>F226</f>
        <v>15096</v>
      </c>
      <c r="G225" s="22">
        <f aca="true" t="shared" si="83" ref="G225:G226">G226</f>
        <v>15095.9</v>
      </c>
    </row>
    <row r="226" spans="1:7" ht="31.5">
      <c r="A226" s="265" t="s">
        <v>21</v>
      </c>
      <c r="B226" s="265" t="s">
        <v>52</v>
      </c>
      <c r="C226" s="265" t="s">
        <v>277</v>
      </c>
      <c r="D226" s="265" t="s">
        <v>72</v>
      </c>
      <c r="E226" s="256" t="s">
        <v>95</v>
      </c>
      <c r="F226" s="22">
        <f>F227</f>
        <v>15096</v>
      </c>
      <c r="G226" s="22">
        <f t="shared" si="83"/>
        <v>15095.9</v>
      </c>
    </row>
    <row r="227" spans="1:7" ht="31.5">
      <c r="A227" s="265" t="s">
        <v>21</v>
      </c>
      <c r="B227" s="265" t="s">
        <v>52</v>
      </c>
      <c r="C227" s="265" t="s">
        <v>277</v>
      </c>
      <c r="D227" s="265">
        <v>240</v>
      </c>
      <c r="E227" s="256" t="s">
        <v>257</v>
      </c>
      <c r="F227" s="22">
        <f>80.5+70.5+14945</f>
        <v>15096</v>
      </c>
      <c r="G227" s="22">
        <v>15095.9</v>
      </c>
    </row>
    <row r="228" spans="1:7" ht="23.45" customHeight="1">
      <c r="A228" s="265" t="s">
        <v>21</v>
      </c>
      <c r="B228" s="265" t="s">
        <v>52</v>
      </c>
      <c r="C228" s="265">
        <v>1310300000</v>
      </c>
      <c r="D228" s="265"/>
      <c r="E228" s="256" t="s">
        <v>316</v>
      </c>
      <c r="F228" s="22">
        <f>F229+F232</f>
        <v>1078.9</v>
      </c>
      <c r="G228" s="22">
        <f aca="true" t="shared" si="84" ref="G228">G229+G232</f>
        <v>1033.9</v>
      </c>
    </row>
    <row r="229" spans="1:7" ht="12.75">
      <c r="A229" s="265" t="s">
        <v>21</v>
      </c>
      <c r="B229" s="265" t="s">
        <v>52</v>
      </c>
      <c r="C229" s="265">
        <v>1310311180</v>
      </c>
      <c r="D229" s="265"/>
      <c r="E229" s="28" t="s">
        <v>314</v>
      </c>
      <c r="F229" s="22">
        <f>F230</f>
        <v>1000</v>
      </c>
      <c r="G229" s="22">
        <f aca="true" t="shared" si="85" ref="G229:G230">G230</f>
        <v>955</v>
      </c>
    </row>
    <row r="230" spans="1:7" ht="31.5">
      <c r="A230" s="265" t="s">
        <v>21</v>
      </c>
      <c r="B230" s="265" t="s">
        <v>52</v>
      </c>
      <c r="C230" s="265">
        <v>1310311180</v>
      </c>
      <c r="D230" s="265" t="s">
        <v>72</v>
      </c>
      <c r="E230" s="256" t="s">
        <v>95</v>
      </c>
      <c r="F230" s="22">
        <f>F231</f>
        <v>1000</v>
      </c>
      <c r="G230" s="22">
        <f t="shared" si="85"/>
        <v>955</v>
      </c>
    </row>
    <row r="231" spans="1:7" ht="31.5">
      <c r="A231" s="265" t="s">
        <v>21</v>
      </c>
      <c r="B231" s="265" t="s">
        <v>52</v>
      </c>
      <c r="C231" s="265">
        <v>1310311180</v>
      </c>
      <c r="D231" s="265">
        <v>240</v>
      </c>
      <c r="E231" s="256" t="s">
        <v>257</v>
      </c>
      <c r="F231" s="22">
        <v>1000</v>
      </c>
      <c r="G231" s="22">
        <v>955</v>
      </c>
    </row>
    <row r="232" spans="1:7" ht="12.75">
      <c r="A232" s="265" t="s">
        <v>21</v>
      </c>
      <c r="B232" s="265" t="s">
        <v>52</v>
      </c>
      <c r="C232" s="265">
        <v>1310320100</v>
      </c>
      <c r="D232" s="265"/>
      <c r="E232" s="93" t="s">
        <v>282</v>
      </c>
      <c r="F232" s="22">
        <f>F233</f>
        <v>78.9</v>
      </c>
      <c r="G232" s="22">
        <f aca="true" t="shared" si="86" ref="G232:G233">G233</f>
        <v>78.9</v>
      </c>
    </row>
    <row r="233" spans="1:7" ht="31.5">
      <c r="A233" s="265" t="s">
        <v>21</v>
      </c>
      <c r="B233" s="265" t="s">
        <v>52</v>
      </c>
      <c r="C233" s="265">
        <v>1310320100</v>
      </c>
      <c r="D233" s="265" t="s">
        <v>72</v>
      </c>
      <c r="E233" s="256" t="s">
        <v>95</v>
      </c>
      <c r="F233" s="22">
        <f>F234</f>
        <v>78.9</v>
      </c>
      <c r="G233" s="22">
        <f t="shared" si="86"/>
        <v>78.9</v>
      </c>
    </row>
    <row r="234" spans="1:7" ht="31.5">
      <c r="A234" s="265" t="s">
        <v>21</v>
      </c>
      <c r="B234" s="265" t="s">
        <v>52</v>
      </c>
      <c r="C234" s="265">
        <v>1310320100</v>
      </c>
      <c r="D234" s="265">
        <v>240</v>
      </c>
      <c r="E234" s="256" t="s">
        <v>257</v>
      </c>
      <c r="F234" s="22">
        <f>30+48.9</f>
        <v>78.9</v>
      </c>
      <c r="G234" s="22">
        <v>78.9</v>
      </c>
    </row>
    <row r="235" spans="1:7" ht="12.75">
      <c r="A235" s="265" t="s">
        <v>21</v>
      </c>
      <c r="B235" s="265" t="s">
        <v>52</v>
      </c>
      <c r="C235" s="265">
        <v>1320000000</v>
      </c>
      <c r="D235" s="265"/>
      <c r="E235" s="256" t="s">
        <v>209</v>
      </c>
      <c r="F235" s="22">
        <f>F236</f>
        <v>18962.7</v>
      </c>
      <c r="G235" s="22">
        <f aca="true" t="shared" si="87" ref="G235">G236</f>
        <v>18961.300000000003</v>
      </c>
    </row>
    <row r="236" spans="1:7" ht="12.75">
      <c r="A236" s="265" t="s">
        <v>21</v>
      </c>
      <c r="B236" s="265" t="s">
        <v>52</v>
      </c>
      <c r="C236" s="265">
        <v>1320200000</v>
      </c>
      <c r="D236" s="265"/>
      <c r="E236" s="256" t="s">
        <v>132</v>
      </c>
      <c r="F236" s="22">
        <f>F237+F240+F243+F246+F252+F249</f>
        <v>18962.7</v>
      </c>
      <c r="G236" s="22">
        <f aca="true" t="shared" si="88" ref="G236">G237+G240+G243+G246+G252+G249</f>
        <v>18961.300000000003</v>
      </c>
    </row>
    <row r="237" spans="1:7" ht="12.75">
      <c r="A237" s="265" t="s">
        <v>21</v>
      </c>
      <c r="B237" s="265" t="s">
        <v>52</v>
      </c>
      <c r="C237" s="265">
        <v>1320220050</v>
      </c>
      <c r="D237" s="265"/>
      <c r="E237" s="256" t="s">
        <v>133</v>
      </c>
      <c r="F237" s="22">
        <f>F238</f>
        <v>15257.9</v>
      </c>
      <c r="G237" s="22">
        <f aca="true" t="shared" si="89" ref="G237:G238">G238</f>
        <v>15257.9</v>
      </c>
    </row>
    <row r="238" spans="1:7" ht="31.5">
      <c r="A238" s="265" t="s">
        <v>21</v>
      </c>
      <c r="B238" s="265" t="s">
        <v>52</v>
      </c>
      <c r="C238" s="265">
        <v>1320220050</v>
      </c>
      <c r="D238" s="265" t="s">
        <v>72</v>
      </c>
      <c r="E238" s="256" t="s">
        <v>95</v>
      </c>
      <c r="F238" s="22">
        <f>F239</f>
        <v>15257.9</v>
      </c>
      <c r="G238" s="22">
        <f t="shared" si="89"/>
        <v>15257.9</v>
      </c>
    </row>
    <row r="239" spans="1:7" ht="31.5">
      <c r="A239" s="265" t="s">
        <v>21</v>
      </c>
      <c r="B239" s="265" t="s">
        <v>52</v>
      </c>
      <c r="C239" s="265">
        <v>1320220050</v>
      </c>
      <c r="D239" s="265">
        <v>240</v>
      </c>
      <c r="E239" s="256" t="s">
        <v>257</v>
      </c>
      <c r="F239" s="22">
        <f>9829.3+3700+1728.6</f>
        <v>15257.9</v>
      </c>
      <c r="G239" s="22">
        <v>15257.9</v>
      </c>
    </row>
    <row r="240" spans="1:7" ht="12.75">
      <c r="A240" s="265" t="s">
        <v>21</v>
      </c>
      <c r="B240" s="265" t="s">
        <v>52</v>
      </c>
      <c r="C240" s="265">
        <v>1320220060</v>
      </c>
      <c r="D240" s="265"/>
      <c r="E240" s="256" t="s">
        <v>134</v>
      </c>
      <c r="F240" s="22">
        <f>F241</f>
        <v>884.4</v>
      </c>
      <c r="G240" s="22">
        <f aca="true" t="shared" si="90" ref="G240:G241">G241</f>
        <v>884.1</v>
      </c>
    </row>
    <row r="241" spans="1:7" ht="31.5">
      <c r="A241" s="265" t="s">
        <v>21</v>
      </c>
      <c r="B241" s="265" t="s">
        <v>52</v>
      </c>
      <c r="C241" s="265">
        <v>1320220060</v>
      </c>
      <c r="D241" s="265" t="s">
        <v>72</v>
      </c>
      <c r="E241" s="256" t="s">
        <v>95</v>
      </c>
      <c r="F241" s="22">
        <f>F242</f>
        <v>884.4</v>
      </c>
      <c r="G241" s="22">
        <f t="shared" si="90"/>
        <v>884.1</v>
      </c>
    </row>
    <row r="242" spans="1:7" ht="31.5">
      <c r="A242" s="265" t="s">
        <v>21</v>
      </c>
      <c r="B242" s="265" t="s">
        <v>52</v>
      </c>
      <c r="C242" s="265">
        <v>1320220060</v>
      </c>
      <c r="D242" s="265">
        <v>240</v>
      </c>
      <c r="E242" s="256" t="s">
        <v>257</v>
      </c>
      <c r="F242" s="22">
        <f>900-15.6</f>
        <v>884.4</v>
      </c>
      <c r="G242" s="22">
        <v>884.1</v>
      </c>
    </row>
    <row r="243" spans="1:7" ht="12.75">
      <c r="A243" s="265" t="s">
        <v>21</v>
      </c>
      <c r="B243" s="265" t="s">
        <v>52</v>
      </c>
      <c r="C243" s="265">
        <v>1320220070</v>
      </c>
      <c r="D243" s="265"/>
      <c r="E243" s="256" t="s">
        <v>135</v>
      </c>
      <c r="F243" s="22">
        <f>F244</f>
        <v>2712.3999999999996</v>
      </c>
      <c r="G243" s="22">
        <f aca="true" t="shared" si="91" ref="G243:G244">G244</f>
        <v>2712.4</v>
      </c>
    </row>
    <row r="244" spans="1:7" ht="31.5">
      <c r="A244" s="265" t="s">
        <v>21</v>
      </c>
      <c r="B244" s="265" t="s">
        <v>52</v>
      </c>
      <c r="C244" s="265">
        <v>1320220070</v>
      </c>
      <c r="D244" s="265" t="s">
        <v>72</v>
      </c>
      <c r="E244" s="256" t="s">
        <v>95</v>
      </c>
      <c r="F244" s="22">
        <f>F245</f>
        <v>2712.3999999999996</v>
      </c>
      <c r="G244" s="22">
        <f t="shared" si="91"/>
        <v>2712.4</v>
      </c>
    </row>
    <row r="245" spans="1:7" ht="31.5">
      <c r="A245" s="265" t="s">
        <v>21</v>
      </c>
      <c r="B245" s="265" t="s">
        <v>52</v>
      </c>
      <c r="C245" s="265">
        <v>1320220070</v>
      </c>
      <c r="D245" s="265">
        <v>240</v>
      </c>
      <c r="E245" s="256" t="s">
        <v>257</v>
      </c>
      <c r="F245" s="22">
        <f>1975.2+201.5+535.7</f>
        <v>2712.3999999999996</v>
      </c>
      <c r="G245" s="22">
        <v>2712.4</v>
      </c>
    </row>
    <row r="246" spans="1:7" ht="12.75">
      <c r="A246" s="265" t="s">
        <v>21</v>
      </c>
      <c r="B246" s="265" t="s">
        <v>52</v>
      </c>
      <c r="C246" s="265">
        <v>1320220080</v>
      </c>
      <c r="D246" s="265"/>
      <c r="E246" s="256" t="s">
        <v>136</v>
      </c>
      <c r="F246" s="22">
        <f>F247</f>
        <v>60.7</v>
      </c>
      <c r="G246" s="22">
        <f aca="true" t="shared" si="92" ref="G246:G247">G247</f>
        <v>60.7</v>
      </c>
    </row>
    <row r="247" spans="1:7" ht="31.5">
      <c r="A247" s="265" t="s">
        <v>21</v>
      </c>
      <c r="B247" s="265" t="s">
        <v>52</v>
      </c>
      <c r="C247" s="265">
        <v>1320220080</v>
      </c>
      <c r="D247" s="265" t="s">
        <v>72</v>
      </c>
      <c r="E247" s="256" t="s">
        <v>95</v>
      </c>
      <c r="F247" s="22">
        <f>F248</f>
        <v>60.7</v>
      </c>
      <c r="G247" s="22">
        <f t="shared" si="92"/>
        <v>60.7</v>
      </c>
    </row>
    <row r="248" spans="1:7" ht="31.5">
      <c r="A248" s="265" t="s">
        <v>21</v>
      </c>
      <c r="B248" s="265" t="s">
        <v>52</v>
      </c>
      <c r="C248" s="265">
        <v>1320220080</v>
      </c>
      <c r="D248" s="265">
        <v>240</v>
      </c>
      <c r="E248" s="256" t="s">
        <v>257</v>
      </c>
      <c r="F248" s="22">
        <f>145.9-48.9-36.3</f>
        <v>60.7</v>
      </c>
      <c r="G248" s="22">
        <v>60.7</v>
      </c>
    </row>
    <row r="249" spans="1:7" ht="31.5">
      <c r="A249" s="265" t="s">
        <v>21</v>
      </c>
      <c r="B249" s="265" t="s">
        <v>52</v>
      </c>
      <c r="C249" s="265">
        <v>1320220090</v>
      </c>
      <c r="D249" s="265"/>
      <c r="E249" s="73" t="s">
        <v>431</v>
      </c>
      <c r="F249" s="22">
        <f>F250</f>
        <v>41.9</v>
      </c>
      <c r="G249" s="22">
        <f aca="true" t="shared" si="93" ref="G249:G250">G250</f>
        <v>40.8</v>
      </c>
    </row>
    <row r="250" spans="1:7" ht="31.5">
      <c r="A250" s="265" t="s">
        <v>21</v>
      </c>
      <c r="B250" s="265" t="s">
        <v>52</v>
      </c>
      <c r="C250" s="265">
        <v>1320220090</v>
      </c>
      <c r="D250" s="265" t="s">
        <v>72</v>
      </c>
      <c r="E250" s="256" t="s">
        <v>95</v>
      </c>
      <c r="F250" s="22">
        <f>F251</f>
        <v>41.9</v>
      </c>
      <c r="G250" s="22">
        <f t="shared" si="93"/>
        <v>40.8</v>
      </c>
    </row>
    <row r="251" spans="1:7" ht="31.5">
      <c r="A251" s="265" t="s">
        <v>21</v>
      </c>
      <c r="B251" s="265" t="s">
        <v>52</v>
      </c>
      <c r="C251" s="265">
        <v>1320220090</v>
      </c>
      <c r="D251" s="265">
        <v>240</v>
      </c>
      <c r="E251" s="256" t="s">
        <v>257</v>
      </c>
      <c r="F251" s="22">
        <f>45-3.1</f>
        <v>41.9</v>
      </c>
      <c r="G251" s="22">
        <v>40.8</v>
      </c>
    </row>
    <row r="252" spans="1:7" ht="21" customHeight="1">
      <c r="A252" s="265" t="s">
        <v>21</v>
      </c>
      <c r="B252" s="265" t="s">
        <v>52</v>
      </c>
      <c r="C252" s="265" t="s">
        <v>138</v>
      </c>
      <c r="D252" s="265"/>
      <c r="E252" s="256" t="s">
        <v>137</v>
      </c>
      <c r="F252" s="22">
        <f>F253</f>
        <v>5.399999999999977</v>
      </c>
      <c r="G252" s="22">
        <f aca="true" t="shared" si="94" ref="G252:G253">G253</f>
        <v>5.4</v>
      </c>
    </row>
    <row r="253" spans="1:7" ht="31.5">
      <c r="A253" s="265" t="s">
        <v>21</v>
      </c>
      <c r="B253" s="265" t="s">
        <v>52</v>
      </c>
      <c r="C253" s="265" t="s">
        <v>138</v>
      </c>
      <c r="D253" s="265" t="s">
        <v>72</v>
      </c>
      <c r="E253" s="256" t="s">
        <v>95</v>
      </c>
      <c r="F253" s="22">
        <f>F254</f>
        <v>5.399999999999977</v>
      </c>
      <c r="G253" s="22">
        <f t="shared" si="94"/>
        <v>5.4</v>
      </c>
    </row>
    <row r="254" spans="1:7" ht="31.5">
      <c r="A254" s="265" t="s">
        <v>21</v>
      </c>
      <c r="B254" s="265" t="s">
        <v>52</v>
      </c>
      <c r="C254" s="265" t="s">
        <v>138</v>
      </c>
      <c r="D254" s="265">
        <v>240</v>
      </c>
      <c r="E254" s="256" t="s">
        <v>257</v>
      </c>
      <c r="F254" s="22">
        <f>368.7-218-145.3</f>
        <v>5.399999999999977</v>
      </c>
      <c r="G254" s="22">
        <v>5.4</v>
      </c>
    </row>
    <row r="255" spans="1:7" ht="12.75">
      <c r="A255" s="265" t="s">
        <v>21</v>
      </c>
      <c r="B255" s="265" t="s">
        <v>52</v>
      </c>
      <c r="C255" s="265">
        <v>1330000000</v>
      </c>
      <c r="D255" s="265"/>
      <c r="E255" s="256" t="s">
        <v>127</v>
      </c>
      <c r="F255" s="22">
        <f>F256</f>
        <v>361.9</v>
      </c>
      <c r="G255" s="22">
        <f aca="true" t="shared" si="95" ref="G255:G258">G256</f>
        <v>361.9</v>
      </c>
    </row>
    <row r="256" spans="1:7" ht="47.25">
      <c r="A256" s="265" t="s">
        <v>21</v>
      </c>
      <c r="B256" s="265" t="s">
        <v>52</v>
      </c>
      <c r="C256" s="265">
        <v>1330200000</v>
      </c>
      <c r="D256" s="265"/>
      <c r="E256" s="256" t="s">
        <v>244</v>
      </c>
      <c r="F256" s="22">
        <f>F257+F260</f>
        <v>361.9</v>
      </c>
      <c r="G256" s="22">
        <f aca="true" t="shared" si="96" ref="G256">G257+G260</f>
        <v>361.9</v>
      </c>
    </row>
    <row r="257" spans="1:7" ht="12.75">
      <c r="A257" s="265" t="s">
        <v>21</v>
      </c>
      <c r="B257" s="265" t="s">
        <v>52</v>
      </c>
      <c r="C257" s="265">
        <v>1330220090</v>
      </c>
      <c r="D257" s="265"/>
      <c r="E257" s="256" t="s">
        <v>139</v>
      </c>
      <c r="F257" s="22">
        <f>F258</f>
        <v>73.9</v>
      </c>
      <c r="G257" s="22">
        <f t="shared" si="95"/>
        <v>73.9</v>
      </c>
    </row>
    <row r="258" spans="1:7" ht="31.5">
      <c r="A258" s="265" t="s">
        <v>21</v>
      </c>
      <c r="B258" s="265" t="s">
        <v>52</v>
      </c>
      <c r="C258" s="265">
        <v>1330220090</v>
      </c>
      <c r="D258" s="265" t="s">
        <v>72</v>
      </c>
      <c r="E258" s="256" t="s">
        <v>95</v>
      </c>
      <c r="F258" s="22">
        <f>F259</f>
        <v>73.9</v>
      </c>
      <c r="G258" s="22">
        <f t="shared" si="95"/>
        <v>73.9</v>
      </c>
    </row>
    <row r="259" spans="1:7" ht="31.5">
      <c r="A259" s="265" t="s">
        <v>21</v>
      </c>
      <c r="B259" s="265" t="s">
        <v>52</v>
      </c>
      <c r="C259" s="265">
        <v>1330220090</v>
      </c>
      <c r="D259" s="265">
        <v>240</v>
      </c>
      <c r="E259" s="256" t="s">
        <v>257</v>
      </c>
      <c r="F259" s="22">
        <f>304-288-15.1+73</f>
        <v>73.9</v>
      </c>
      <c r="G259" s="22">
        <v>73.9</v>
      </c>
    </row>
    <row r="260" spans="1:7" ht="12.75">
      <c r="A260" s="265" t="s">
        <v>21</v>
      </c>
      <c r="B260" s="265" t="s">
        <v>52</v>
      </c>
      <c r="C260" s="265">
        <v>1330220100</v>
      </c>
      <c r="D260" s="265"/>
      <c r="E260" s="50" t="s">
        <v>380</v>
      </c>
      <c r="F260" s="22">
        <f>F261</f>
        <v>288</v>
      </c>
      <c r="G260" s="22">
        <f aca="true" t="shared" si="97" ref="G260:G261">G261</f>
        <v>288</v>
      </c>
    </row>
    <row r="261" spans="1:7" ht="31.5">
      <c r="A261" s="265" t="s">
        <v>21</v>
      </c>
      <c r="B261" s="265" t="s">
        <v>52</v>
      </c>
      <c r="C261" s="265">
        <v>1330220100</v>
      </c>
      <c r="D261" s="265" t="s">
        <v>72</v>
      </c>
      <c r="E261" s="256" t="s">
        <v>95</v>
      </c>
      <c r="F261" s="22">
        <f>F262</f>
        <v>288</v>
      </c>
      <c r="G261" s="22">
        <f t="shared" si="97"/>
        <v>288</v>
      </c>
    </row>
    <row r="262" spans="1:7" ht="31.5">
      <c r="A262" s="265" t="s">
        <v>21</v>
      </c>
      <c r="B262" s="265" t="s">
        <v>52</v>
      </c>
      <c r="C262" s="265">
        <v>1330220100</v>
      </c>
      <c r="D262" s="265">
        <v>240</v>
      </c>
      <c r="E262" s="256" t="s">
        <v>257</v>
      </c>
      <c r="F262" s="22">
        <v>288</v>
      </c>
      <c r="G262" s="22">
        <v>288</v>
      </c>
    </row>
    <row r="263" spans="1:7" ht="12.75">
      <c r="A263" s="265" t="s">
        <v>21</v>
      </c>
      <c r="B263" s="265" t="s">
        <v>52</v>
      </c>
      <c r="C263" s="265" t="s">
        <v>112</v>
      </c>
      <c r="D263" s="265" t="s">
        <v>69</v>
      </c>
      <c r="E263" s="256" t="s">
        <v>107</v>
      </c>
      <c r="F263" s="22">
        <f>F268+F264</f>
        <v>292.4</v>
      </c>
      <c r="G263" s="22">
        <f>G268+G264</f>
        <v>292.4</v>
      </c>
    </row>
    <row r="264" spans="1:7" ht="47.25">
      <c r="A264" s="265" t="s">
        <v>21</v>
      </c>
      <c r="B264" s="265" t="s">
        <v>52</v>
      </c>
      <c r="C264" s="265">
        <v>9920000000</v>
      </c>
      <c r="D264" s="265"/>
      <c r="E264" s="73" t="s">
        <v>381</v>
      </c>
      <c r="F264" s="22">
        <f>F265</f>
        <v>10.9</v>
      </c>
      <c r="G264" s="22">
        <f aca="true" t="shared" si="98" ref="G264:G266">G265</f>
        <v>10.9</v>
      </c>
    </row>
    <row r="265" spans="1:7" ht="31.5">
      <c r="A265" s="265" t="s">
        <v>21</v>
      </c>
      <c r="B265" s="265" t="s">
        <v>52</v>
      </c>
      <c r="C265" s="265">
        <v>9920010920</v>
      </c>
      <c r="D265" s="265"/>
      <c r="E265" s="73" t="s">
        <v>382</v>
      </c>
      <c r="F265" s="22">
        <f>F266</f>
        <v>10.9</v>
      </c>
      <c r="G265" s="22">
        <f t="shared" si="98"/>
        <v>10.9</v>
      </c>
    </row>
    <row r="266" spans="1:7" ht="31.5">
      <c r="A266" s="265" t="s">
        <v>21</v>
      </c>
      <c r="B266" s="265" t="s">
        <v>52</v>
      </c>
      <c r="C266" s="265">
        <v>9920010920</v>
      </c>
      <c r="D266" s="265" t="s">
        <v>72</v>
      </c>
      <c r="E266" s="256" t="s">
        <v>95</v>
      </c>
      <c r="F266" s="22">
        <f>F267</f>
        <v>10.9</v>
      </c>
      <c r="G266" s="22">
        <f t="shared" si="98"/>
        <v>10.9</v>
      </c>
    </row>
    <row r="267" spans="1:7" ht="31.5">
      <c r="A267" s="265" t="s">
        <v>21</v>
      </c>
      <c r="B267" s="265" t="s">
        <v>52</v>
      </c>
      <c r="C267" s="265">
        <v>9920010920</v>
      </c>
      <c r="D267" s="265">
        <v>240</v>
      </c>
      <c r="E267" s="256" t="s">
        <v>257</v>
      </c>
      <c r="F267" s="22">
        <v>10.9</v>
      </c>
      <c r="G267" s="22">
        <v>10.9</v>
      </c>
    </row>
    <row r="268" spans="1:7" ht="31.5">
      <c r="A268" s="265" t="s">
        <v>21</v>
      </c>
      <c r="B268" s="265" t="s">
        <v>52</v>
      </c>
      <c r="C268" s="265">
        <v>9930000000</v>
      </c>
      <c r="D268" s="265"/>
      <c r="E268" s="73" t="s">
        <v>173</v>
      </c>
      <c r="F268" s="22">
        <f>F269</f>
        <v>281.5</v>
      </c>
      <c r="G268" s="22">
        <f aca="true" t="shared" si="99" ref="G268:G270">G269</f>
        <v>281.5</v>
      </c>
    </row>
    <row r="269" spans="1:7" ht="31.5">
      <c r="A269" s="265" t="s">
        <v>21</v>
      </c>
      <c r="B269" s="265" t="s">
        <v>52</v>
      </c>
      <c r="C269" s="265">
        <v>9930020490</v>
      </c>
      <c r="D269" s="265"/>
      <c r="E269" s="73" t="s">
        <v>334</v>
      </c>
      <c r="F269" s="22">
        <f>F270</f>
        <v>281.5</v>
      </c>
      <c r="G269" s="22">
        <f t="shared" si="99"/>
        <v>281.5</v>
      </c>
    </row>
    <row r="270" spans="1:7" ht="12.75">
      <c r="A270" s="265" t="s">
        <v>21</v>
      </c>
      <c r="B270" s="265" t="s">
        <v>52</v>
      </c>
      <c r="C270" s="265">
        <v>9930020490</v>
      </c>
      <c r="D270" s="11" t="s">
        <v>73</v>
      </c>
      <c r="E270" s="50" t="s">
        <v>74</v>
      </c>
      <c r="F270" s="22">
        <f>F271</f>
        <v>281.5</v>
      </c>
      <c r="G270" s="22">
        <f t="shared" si="99"/>
        <v>281.5</v>
      </c>
    </row>
    <row r="271" spans="1:7" ht="12.75">
      <c r="A271" s="265" t="s">
        <v>21</v>
      </c>
      <c r="B271" s="265" t="s">
        <v>52</v>
      </c>
      <c r="C271" s="265">
        <v>9930020490</v>
      </c>
      <c r="D271" s="2" t="s">
        <v>335</v>
      </c>
      <c r="E271" s="81" t="s">
        <v>336</v>
      </c>
      <c r="F271" s="22">
        <v>281.5</v>
      </c>
      <c r="G271" s="22">
        <v>281.5</v>
      </c>
    </row>
    <row r="272" spans="1:7" ht="12.75">
      <c r="A272" s="265" t="s">
        <v>21</v>
      </c>
      <c r="B272" s="265" t="s">
        <v>39</v>
      </c>
      <c r="C272" s="265" t="s">
        <v>69</v>
      </c>
      <c r="D272" s="265" t="s">
        <v>69</v>
      </c>
      <c r="E272" s="256" t="s">
        <v>31</v>
      </c>
      <c r="F272" s="22">
        <f>F292+F321+F314+F273</f>
        <v>141138.6</v>
      </c>
      <c r="G272" s="22">
        <f>G292+G321+G314+G273</f>
        <v>130415</v>
      </c>
    </row>
    <row r="273" spans="1:7" ht="12.75">
      <c r="A273" s="265" t="s">
        <v>21</v>
      </c>
      <c r="B273" s="265" t="s">
        <v>53</v>
      </c>
      <c r="C273" s="265" t="s">
        <v>69</v>
      </c>
      <c r="D273" s="265" t="s">
        <v>69</v>
      </c>
      <c r="E273" s="256" t="s">
        <v>11</v>
      </c>
      <c r="F273" s="22">
        <f aca="true" t="shared" si="100" ref="F273:F290">F274</f>
        <v>121066.70000000001</v>
      </c>
      <c r="G273" s="22">
        <f aca="true" t="shared" si="101" ref="G273:G290">G274</f>
        <v>110398.6</v>
      </c>
    </row>
    <row r="274" spans="1:7" ht="47.25">
      <c r="A274" s="265" t="s">
        <v>21</v>
      </c>
      <c r="B274" s="265" t="s">
        <v>53</v>
      </c>
      <c r="C274" s="265">
        <v>1200000000</v>
      </c>
      <c r="D274" s="265"/>
      <c r="E274" s="256" t="s">
        <v>197</v>
      </c>
      <c r="F274" s="22">
        <f t="shared" si="100"/>
        <v>121066.70000000001</v>
      </c>
      <c r="G274" s="22">
        <f t="shared" si="101"/>
        <v>110398.6</v>
      </c>
    </row>
    <row r="275" spans="1:7" ht="31.5">
      <c r="A275" s="265" t="s">
        <v>21</v>
      </c>
      <c r="B275" s="265" t="s">
        <v>53</v>
      </c>
      <c r="C275" s="265">
        <v>1250000000</v>
      </c>
      <c r="D275" s="265"/>
      <c r="E275" s="256" t="s">
        <v>262</v>
      </c>
      <c r="F275" s="22">
        <f t="shared" si="100"/>
        <v>121066.70000000001</v>
      </c>
      <c r="G275" s="22">
        <f t="shared" si="101"/>
        <v>110398.6</v>
      </c>
    </row>
    <row r="276" spans="1:7" ht="47.25">
      <c r="A276" s="265" t="s">
        <v>21</v>
      </c>
      <c r="B276" s="265" t="s">
        <v>53</v>
      </c>
      <c r="C276" s="265" t="s">
        <v>274</v>
      </c>
      <c r="D276" s="265"/>
      <c r="E276" s="256" t="s">
        <v>271</v>
      </c>
      <c r="F276" s="22">
        <f>F289+F286+F277+F280+F283</f>
        <v>121066.70000000001</v>
      </c>
      <c r="G276" s="22">
        <f aca="true" t="shared" si="102" ref="G276">G289+G286+G277+G280+G283</f>
        <v>110398.6</v>
      </c>
    </row>
    <row r="277" spans="1:7" ht="47.25">
      <c r="A277" s="265" t="s">
        <v>21</v>
      </c>
      <c r="B277" s="265" t="s">
        <v>53</v>
      </c>
      <c r="C277" s="265" t="s">
        <v>322</v>
      </c>
      <c r="D277" s="265"/>
      <c r="E277" s="256" t="s">
        <v>323</v>
      </c>
      <c r="F277" s="22">
        <f>F278</f>
        <v>28180.5</v>
      </c>
      <c r="G277" s="22">
        <f aca="true" t="shared" si="103" ref="G277:G278">G278</f>
        <v>28180.5</v>
      </c>
    </row>
    <row r="278" spans="1:7" ht="31.5">
      <c r="A278" s="265" t="s">
        <v>21</v>
      </c>
      <c r="B278" s="265" t="s">
        <v>53</v>
      </c>
      <c r="C278" s="265" t="s">
        <v>322</v>
      </c>
      <c r="D278" s="265" t="s">
        <v>75</v>
      </c>
      <c r="E278" s="73" t="s">
        <v>96</v>
      </c>
      <c r="F278" s="22">
        <f>F279</f>
        <v>28180.5</v>
      </c>
      <c r="G278" s="22">
        <f t="shared" si="103"/>
        <v>28180.5</v>
      </c>
    </row>
    <row r="279" spans="1:7" ht="12.75">
      <c r="A279" s="265" t="s">
        <v>21</v>
      </c>
      <c r="B279" s="265" t="s">
        <v>53</v>
      </c>
      <c r="C279" s="265" t="s">
        <v>322</v>
      </c>
      <c r="D279" s="265" t="s">
        <v>122</v>
      </c>
      <c r="E279" s="73" t="s">
        <v>123</v>
      </c>
      <c r="F279" s="22">
        <f>35614-7433.5</f>
        <v>28180.5</v>
      </c>
      <c r="G279" s="22">
        <v>28180.5</v>
      </c>
    </row>
    <row r="280" spans="1:7" ht="12.75">
      <c r="A280" s="265" t="s">
        <v>21</v>
      </c>
      <c r="B280" s="265" t="s">
        <v>53</v>
      </c>
      <c r="C280" s="265" t="s">
        <v>327</v>
      </c>
      <c r="D280" s="265"/>
      <c r="E280" s="256" t="s">
        <v>328</v>
      </c>
      <c r="F280" s="22">
        <f>F281</f>
        <v>384.3000000000002</v>
      </c>
      <c r="G280" s="22">
        <f aca="true" t="shared" si="104" ref="G280:G281">G281</f>
        <v>384.3</v>
      </c>
    </row>
    <row r="281" spans="1:7" ht="31.5">
      <c r="A281" s="265" t="s">
        <v>21</v>
      </c>
      <c r="B281" s="265" t="s">
        <v>53</v>
      </c>
      <c r="C281" s="265" t="s">
        <v>327</v>
      </c>
      <c r="D281" s="265" t="s">
        <v>75</v>
      </c>
      <c r="E281" s="73" t="s">
        <v>96</v>
      </c>
      <c r="F281" s="22">
        <f>F282</f>
        <v>384.3000000000002</v>
      </c>
      <c r="G281" s="22">
        <f t="shared" si="104"/>
        <v>384.3</v>
      </c>
    </row>
    <row r="282" spans="1:7" ht="12.75">
      <c r="A282" s="265" t="s">
        <v>21</v>
      </c>
      <c r="B282" s="265" t="s">
        <v>53</v>
      </c>
      <c r="C282" s="265" t="s">
        <v>327</v>
      </c>
      <c r="D282" s="265" t="s">
        <v>122</v>
      </c>
      <c r="E282" s="73" t="s">
        <v>123</v>
      </c>
      <c r="F282" s="22">
        <f>281.8+1858.4-1758.4+2.6-0.1</f>
        <v>384.3000000000002</v>
      </c>
      <c r="G282" s="22">
        <v>384.3</v>
      </c>
    </row>
    <row r="283" spans="1:7" ht="31.5">
      <c r="A283" s="265" t="s">
        <v>21</v>
      </c>
      <c r="B283" s="265" t="s">
        <v>53</v>
      </c>
      <c r="C283" s="265" t="s">
        <v>429</v>
      </c>
      <c r="D283" s="265"/>
      <c r="E283" s="73" t="s">
        <v>430</v>
      </c>
      <c r="F283" s="22">
        <f>F284</f>
        <v>17230.1</v>
      </c>
      <c r="G283" s="22">
        <f aca="true" t="shared" si="105" ref="G283:G284">G284</f>
        <v>6562</v>
      </c>
    </row>
    <row r="284" spans="1:7" ht="31.5">
      <c r="A284" s="265" t="s">
        <v>21</v>
      </c>
      <c r="B284" s="265" t="s">
        <v>53</v>
      </c>
      <c r="C284" s="265" t="s">
        <v>429</v>
      </c>
      <c r="D284" s="265" t="s">
        <v>75</v>
      </c>
      <c r="E284" s="73" t="s">
        <v>96</v>
      </c>
      <c r="F284" s="22">
        <f>F285</f>
        <v>17230.1</v>
      </c>
      <c r="G284" s="22">
        <f t="shared" si="105"/>
        <v>6562</v>
      </c>
    </row>
    <row r="285" spans="1:7" ht="12.75">
      <c r="A285" s="265" t="s">
        <v>21</v>
      </c>
      <c r="B285" s="265" t="s">
        <v>53</v>
      </c>
      <c r="C285" s="265" t="s">
        <v>429</v>
      </c>
      <c r="D285" s="265" t="s">
        <v>122</v>
      </c>
      <c r="E285" s="73" t="s">
        <v>123</v>
      </c>
      <c r="F285" s="22">
        <f>3230.1+14000</f>
        <v>17230.1</v>
      </c>
      <c r="G285" s="22">
        <v>6562</v>
      </c>
    </row>
    <row r="286" spans="1:7" ht="48.6" customHeight="1">
      <c r="A286" s="265" t="s">
        <v>21</v>
      </c>
      <c r="B286" s="265" t="s">
        <v>53</v>
      </c>
      <c r="C286" s="265" t="s">
        <v>280</v>
      </c>
      <c r="D286" s="265"/>
      <c r="E286" s="73" t="s">
        <v>281</v>
      </c>
      <c r="F286" s="22">
        <f>F287</f>
        <v>68226.7</v>
      </c>
      <c r="G286" s="22">
        <f aca="true" t="shared" si="106" ref="G286:G287">G287</f>
        <v>68226.7</v>
      </c>
    </row>
    <row r="287" spans="1:7" ht="31.5">
      <c r="A287" s="265" t="s">
        <v>21</v>
      </c>
      <c r="B287" s="265" t="s">
        <v>53</v>
      </c>
      <c r="C287" s="265" t="s">
        <v>280</v>
      </c>
      <c r="D287" s="265" t="s">
        <v>75</v>
      </c>
      <c r="E287" s="73" t="s">
        <v>96</v>
      </c>
      <c r="F287" s="22">
        <f>F288</f>
        <v>68226.7</v>
      </c>
      <c r="G287" s="22">
        <f t="shared" si="106"/>
        <v>68226.7</v>
      </c>
    </row>
    <row r="288" spans="1:7" ht="12.75">
      <c r="A288" s="265" t="s">
        <v>21</v>
      </c>
      <c r="B288" s="265" t="s">
        <v>53</v>
      </c>
      <c r="C288" s="265" t="s">
        <v>280</v>
      </c>
      <c r="D288" s="265" t="s">
        <v>122</v>
      </c>
      <c r="E288" s="73" t="s">
        <v>123</v>
      </c>
      <c r="F288" s="22">
        <f>238.3+37568.5+191.7+30228.2</f>
        <v>68226.7</v>
      </c>
      <c r="G288" s="22">
        <v>68226.7</v>
      </c>
    </row>
    <row r="289" spans="1:7" ht="31.5">
      <c r="A289" s="265" t="s">
        <v>21</v>
      </c>
      <c r="B289" s="265" t="s">
        <v>53</v>
      </c>
      <c r="C289" s="265" t="s">
        <v>275</v>
      </c>
      <c r="D289" s="265"/>
      <c r="E289" s="256" t="s">
        <v>273</v>
      </c>
      <c r="F289" s="22">
        <f t="shared" si="100"/>
        <v>7045.1</v>
      </c>
      <c r="G289" s="22">
        <f t="shared" si="101"/>
        <v>7045.1</v>
      </c>
    </row>
    <row r="290" spans="1:7" ht="31.5">
      <c r="A290" s="265" t="s">
        <v>21</v>
      </c>
      <c r="B290" s="265" t="s">
        <v>53</v>
      </c>
      <c r="C290" s="265" t="s">
        <v>275</v>
      </c>
      <c r="D290" s="265" t="s">
        <v>75</v>
      </c>
      <c r="E290" s="73" t="s">
        <v>96</v>
      </c>
      <c r="F290" s="22">
        <f t="shared" si="100"/>
        <v>7045.1</v>
      </c>
      <c r="G290" s="22">
        <f t="shared" si="101"/>
        <v>7045.1</v>
      </c>
    </row>
    <row r="291" spans="1:7" ht="12.75">
      <c r="A291" s="265" t="s">
        <v>21</v>
      </c>
      <c r="B291" s="265" t="s">
        <v>53</v>
      </c>
      <c r="C291" s="265" t="s">
        <v>275</v>
      </c>
      <c r="D291" s="265" t="s">
        <v>122</v>
      </c>
      <c r="E291" s="73" t="s">
        <v>123</v>
      </c>
      <c r="F291" s="22">
        <f>8903.5-1858.4+3230.1-3230.1</f>
        <v>7045.1</v>
      </c>
      <c r="G291" s="22">
        <v>7045.1</v>
      </c>
    </row>
    <row r="292" spans="1:7" ht="12.75">
      <c r="A292" s="9" t="s">
        <v>21</v>
      </c>
      <c r="B292" s="9" t="s">
        <v>91</v>
      </c>
      <c r="C292" s="10"/>
      <c r="D292" s="10"/>
      <c r="E292" s="256" t="s">
        <v>92</v>
      </c>
      <c r="F292" s="22">
        <f>F293+F309</f>
        <v>19782.9</v>
      </c>
      <c r="G292" s="22">
        <f aca="true" t="shared" si="107" ref="G292">G293+G309</f>
        <v>19782.9</v>
      </c>
    </row>
    <row r="293" spans="1:7" ht="31.5">
      <c r="A293" s="9" t="s">
        <v>21</v>
      </c>
      <c r="B293" s="265" t="s">
        <v>91</v>
      </c>
      <c r="C293" s="265">
        <v>1100000000</v>
      </c>
      <c r="D293" s="265"/>
      <c r="E293" s="256" t="s">
        <v>202</v>
      </c>
      <c r="F293" s="22">
        <f aca="true" t="shared" si="108" ref="F293:G300">F294</f>
        <v>19774.9</v>
      </c>
      <c r="G293" s="22">
        <f t="shared" si="108"/>
        <v>19774.9</v>
      </c>
    </row>
    <row r="294" spans="1:7" ht="12.75">
      <c r="A294" s="9" t="s">
        <v>21</v>
      </c>
      <c r="B294" s="265" t="s">
        <v>91</v>
      </c>
      <c r="C294" s="265">
        <v>1120000000</v>
      </c>
      <c r="D294" s="265"/>
      <c r="E294" s="256" t="s">
        <v>124</v>
      </c>
      <c r="F294" s="22">
        <f>F295+F305</f>
        <v>19774.9</v>
      </c>
      <c r="G294" s="22">
        <f aca="true" t="shared" si="109" ref="G294">G295+G305</f>
        <v>19774.9</v>
      </c>
    </row>
    <row r="295" spans="1:7" ht="47.25">
      <c r="A295" s="9" t="s">
        <v>21</v>
      </c>
      <c r="B295" s="265" t="s">
        <v>91</v>
      </c>
      <c r="C295" s="265">
        <v>1120100000</v>
      </c>
      <c r="D295" s="265"/>
      <c r="E295" s="256" t="s">
        <v>125</v>
      </c>
      <c r="F295" s="22">
        <f>F299+F296+F302</f>
        <v>19559.9</v>
      </c>
      <c r="G295" s="22">
        <f aca="true" t="shared" si="110" ref="G295">G299+G296+G302</f>
        <v>19559.9</v>
      </c>
    </row>
    <row r="296" spans="1:7" ht="47.25">
      <c r="A296" s="9" t="s">
        <v>21</v>
      </c>
      <c r="B296" s="265" t="s">
        <v>91</v>
      </c>
      <c r="C296" s="265">
        <v>1120110690</v>
      </c>
      <c r="D296" s="265"/>
      <c r="E296" s="73" t="s">
        <v>298</v>
      </c>
      <c r="F296" s="22">
        <f>F297</f>
        <v>3591.2</v>
      </c>
      <c r="G296" s="22">
        <f aca="true" t="shared" si="111" ref="G296:G297">G297</f>
        <v>3591.2</v>
      </c>
    </row>
    <row r="297" spans="1:7" ht="31.5">
      <c r="A297" s="9" t="s">
        <v>21</v>
      </c>
      <c r="B297" s="265" t="s">
        <v>91</v>
      </c>
      <c r="C297" s="265">
        <v>1120110690</v>
      </c>
      <c r="D297" s="265" t="s">
        <v>97</v>
      </c>
      <c r="E297" s="73" t="s">
        <v>98</v>
      </c>
      <c r="F297" s="22">
        <f>F298</f>
        <v>3591.2</v>
      </c>
      <c r="G297" s="22">
        <f t="shared" si="111"/>
        <v>3591.2</v>
      </c>
    </row>
    <row r="298" spans="1:7" ht="12.75">
      <c r="A298" s="9" t="s">
        <v>21</v>
      </c>
      <c r="B298" s="265" t="s">
        <v>91</v>
      </c>
      <c r="C298" s="265">
        <v>1120110690</v>
      </c>
      <c r="D298" s="265">
        <v>610</v>
      </c>
      <c r="E298" s="73" t="s">
        <v>106</v>
      </c>
      <c r="F298" s="22">
        <v>3591.2</v>
      </c>
      <c r="G298" s="22">
        <v>3591.2</v>
      </c>
    </row>
    <row r="299" spans="1:7" ht="31.5">
      <c r="A299" s="9" t="s">
        <v>21</v>
      </c>
      <c r="B299" s="265" t="s">
        <v>91</v>
      </c>
      <c r="C299" s="265">
        <v>1120120010</v>
      </c>
      <c r="D299" s="265"/>
      <c r="E299" s="256" t="s">
        <v>126</v>
      </c>
      <c r="F299" s="22">
        <f t="shared" si="108"/>
        <v>15932.800000000001</v>
      </c>
      <c r="G299" s="22">
        <f t="shared" si="108"/>
        <v>15932.8</v>
      </c>
    </row>
    <row r="300" spans="1:7" ht="31.5">
      <c r="A300" s="9" t="s">
        <v>21</v>
      </c>
      <c r="B300" s="265" t="s">
        <v>91</v>
      </c>
      <c r="C300" s="265">
        <v>1120120010</v>
      </c>
      <c r="D300" s="265" t="s">
        <v>97</v>
      </c>
      <c r="E300" s="256" t="s">
        <v>98</v>
      </c>
      <c r="F300" s="22">
        <f t="shared" si="108"/>
        <v>15932.800000000001</v>
      </c>
      <c r="G300" s="22">
        <f t="shared" si="108"/>
        <v>15932.8</v>
      </c>
    </row>
    <row r="301" spans="1:7" ht="12.75">
      <c r="A301" s="9" t="s">
        <v>21</v>
      </c>
      <c r="B301" s="265" t="s">
        <v>91</v>
      </c>
      <c r="C301" s="265">
        <v>1120120010</v>
      </c>
      <c r="D301" s="265">
        <v>610</v>
      </c>
      <c r="E301" s="256" t="s">
        <v>106</v>
      </c>
      <c r="F301" s="22">
        <f>15985-35.9-16.3</f>
        <v>15932.800000000001</v>
      </c>
      <c r="G301" s="22">
        <v>15932.8</v>
      </c>
    </row>
    <row r="302" spans="1:7" ht="47.25">
      <c r="A302" s="9" t="s">
        <v>21</v>
      </c>
      <c r="B302" s="265" t="s">
        <v>91</v>
      </c>
      <c r="C302" s="265" t="s">
        <v>309</v>
      </c>
      <c r="D302" s="265"/>
      <c r="E302" s="73" t="s">
        <v>310</v>
      </c>
      <c r="F302" s="22">
        <f>F303</f>
        <v>35.9</v>
      </c>
      <c r="G302" s="22">
        <f aca="true" t="shared" si="112" ref="G302:G303">G303</f>
        <v>35.9</v>
      </c>
    </row>
    <row r="303" spans="1:7" ht="31.5">
      <c r="A303" s="9" t="s">
        <v>21</v>
      </c>
      <c r="B303" s="265" t="s">
        <v>91</v>
      </c>
      <c r="C303" s="265" t="s">
        <v>309</v>
      </c>
      <c r="D303" s="265" t="s">
        <v>97</v>
      </c>
      <c r="E303" s="73" t="s">
        <v>98</v>
      </c>
      <c r="F303" s="22">
        <f>F304</f>
        <v>35.9</v>
      </c>
      <c r="G303" s="22">
        <f t="shared" si="112"/>
        <v>35.9</v>
      </c>
    </row>
    <row r="304" spans="1:7" ht="12.75">
      <c r="A304" s="9" t="s">
        <v>21</v>
      </c>
      <c r="B304" s="265" t="s">
        <v>91</v>
      </c>
      <c r="C304" s="265" t="s">
        <v>309</v>
      </c>
      <c r="D304" s="265">
        <v>610</v>
      </c>
      <c r="E304" s="73" t="s">
        <v>106</v>
      </c>
      <c r="F304" s="22">
        <v>35.9</v>
      </c>
      <c r="G304" s="22">
        <v>35.9</v>
      </c>
    </row>
    <row r="305" spans="1:7" ht="63">
      <c r="A305" s="9" t="s">
        <v>21</v>
      </c>
      <c r="B305" s="265" t="s">
        <v>91</v>
      </c>
      <c r="C305" s="265">
        <v>1120300000</v>
      </c>
      <c r="D305" s="265"/>
      <c r="E305" s="73" t="s">
        <v>324</v>
      </c>
      <c r="F305" s="22">
        <f>F306</f>
        <v>215</v>
      </c>
      <c r="G305" s="22">
        <f aca="true" t="shared" si="113" ref="G305:G307">G306</f>
        <v>215</v>
      </c>
    </row>
    <row r="306" spans="1:7" ht="31.5">
      <c r="A306" s="9" t="s">
        <v>21</v>
      </c>
      <c r="B306" s="265" t="s">
        <v>91</v>
      </c>
      <c r="C306" s="265">
        <v>1120320020</v>
      </c>
      <c r="D306" s="265"/>
      <c r="E306" s="73" t="s">
        <v>321</v>
      </c>
      <c r="F306" s="22">
        <f>F307</f>
        <v>215</v>
      </c>
      <c r="G306" s="22">
        <f t="shared" si="113"/>
        <v>215</v>
      </c>
    </row>
    <row r="307" spans="1:7" ht="31.5">
      <c r="A307" s="9" t="s">
        <v>21</v>
      </c>
      <c r="B307" s="265" t="s">
        <v>91</v>
      </c>
      <c r="C307" s="265">
        <v>1120320020</v>
      </c>
      <c r="D307" s="265" t="s">
        <v>97</v>
      </c>
      <c r="E307" s="73" t="s">
        <v>98</v>
      </c>
      <c r="F307" s="22">
        <f>F308</f>
        <v>215</v>
      </c>
      <c r="G307" s="22">
        <f t="shared" si="113"/>
        <v>215</v>
      </c>
    </row>
    <row r="308" spans="1:7" ht="12.75">
      <c r="A308" s="9" t="s">
        <v>21</v>
      </c>
      <c r="B308" s="265" t="s">
        <v>91</v>
      </c>
      <c r="C308" s="265">
        <v>1120320020</v>
      </c>
      <c r="D308" s="265">
        <v>610</v>
      </c>
      <c r="E308" s="73" t="s">
        <v>106</v>
      </c>
      <c r="F308" s="22">
        <v>215</v>
      </c>
      <c r="G308" s="22">
        <v>215</v>
      </c>
    </row>
    <row r="309" spans="1:7" ht="31.5">
      <c r="A309" s="9" t="s">
        <v>21</v>
      </c>
      <c r="B309" s="265" t="s">
        <v>91</v>
      </c>
      <c r="C309" s="265">
        <v>1130000000</v>
      </c>
      <c r="D309" s="265"/>
      <c r="E309" s="73" t="s">
        <v>117</v>
      </c>
      <c r="F309" s="22">
        <f>F310</f>
        <v>8</v>
      </c>
      <c r="G309" s="22">
        <f aca="true" t="shared" si="114" ref="G309:G312">G310</f>
        <v>8</v>
      </c>
    </row>
    <row r="310" spans="1:7" ht="31.5">
      <c r="A310" s="9" t="s">
        <v>21</v>
      </c>
      <c r="B310" s="265" t="s">
        <v>91</v>
      </c>
      <c r="C310" s="265">
        <v>1130500000</v>
      </c>
      <c r="D310" s="265"/>
      <c r="E310" s="73" t="s">
        <v>422</v>
      </c>
      <c r="F310" s="22">
        <f>F311</f>
        <v>8</v>
      </c>
      <c r="G310" s="22">
        <f t="shared" si="114"/>
        <v>8</v>
      </c>
    </row>
    <row r="311" spans="1:7" ht="31.5">
      <c r="A311" s="9" t="s">
        <v>21</v>
      </c>
      <c r="B311" s="265" t="s">
        <v>91</v>
      </c>
      <c r="C311" s="265">
        <v>1130520300</v>
      </c>
      <c r="D311" s="265"/>
      <c r="E311" s="73" t="s">
        <v>423</v>
      </c>
      <c r="F311" s="22">
        <f>F312</f>
        <v>8</v>
      </c>
      <c r="G311" s="22">
        <f t="shared" si="114"/>
        <v>8</v>
      </c>
    </row>
    <row r="312" spans="1:7" ht="31.5">
      <c r="A312" s="9" t="s">
        <v>21</v>
      </c>
      <c r="B312" s="265" t="s">
        <v>91</v>
      </c>
      <c r="C312" s="265">
        <v>1130520300</v>
      </c>
      <c r="D312" s="265" t="s">
        <v>72</v>
      </c>
      <c r="E312" s="256" t="s">
        <v>95</v>
      </c>
      <c r="F312" s="22">
        <f>F313</f>
        <v>8</v>
      </c>
      <c r="G312" s="22">
        <f t="shared" si="114"/>
        <v>8</v>
      </c>
    </row>
    <row r="313" spans="1:7" ht="31.5">
      <c r="A313" s="9" t="s">
        <v>21</v>
      </c>
      <c r="B313" s="265" t="s">
        <v>91</v>
      </c>
      <c r="C313" s="265">
        <v>1130520300</v>
      </c>
      <c r="D313" s="265">
        <v>240</v>
      </c>
      <c r="E313" s="256" t="s">
        <v>257</v>
      </c>
      <c r="F313" s="22">
        <v>8</v>
      </c>
      <c r="G313" s="22">
        <v>8</v>
      </c>
    </row>
    <row r="314" spans="1:7" ht="19.15" customHeight="1">
      <c r="A314" s="9" t="s">
        <v>21</v>
      </c>
      <c r="B314" s="18" t="s">
        <v>226</v>
      </c>
      <c r="C314" s="265"/>
      <c r="D314" s="265"/>
      <c r="E314" s="256" t="s">
        <v>259</v>
      </c>
      <c r="F314" s="22">
        <f aca="true" t="shared" si="115" ref="F314:G319">F315</f>
        <v>144.6</v>
      </c>
      <c r="G314" s="22">
        <f t="shared" si="115"/>
        <v>134.6</v>
      </c>
    </row>
    <row r="315" spans="1:7" ht="47.25">
      <c r="A315" s="9" t="s">
        <v>21</v>
      </c>
      <c r="B315" s="18" t="s">
        <v>226</v>
      </c>
      <c r="C315" s="265">
        <v>1600000000</v>
      </c>
      <c r="D315" s="265"/>
      <c r="E315" s="256" t="s">
        <v>116</v>
      </c>
      <c r="F315" s="22">
        <f t="shared" si="115"/>
        <v>144.6</v>
      </c>
      <c r="G315" s="22">
        <f t="shared" si="115"/>
        <v>134.6</v>
      </c>
    </row>
    <row r="316" spans="1:7" ht="47.25">
      <c r="A316" s="9" t="s">
        <v>21</v>
      </c>
      <c r="B316" s="18" t="s">
        <v>226</v>
      </c>
      <c r="C316" s="265">
        <v>1640000000</v>
      </c>
      <c r="D316" s="2"/>
      <c r="E316" s="60" t="s">
        <v>228</v>
      </c>
      <c r="F316" s="22">
        <f t="shared" si="115"/>
        <v>144.6</v>
      </c>
      <c r="G316" s="22">
        <f t="shared" si="115"/>
        <v>134.6</v>
      </c>
    </row>
    <row r="317" spans="1:7" ht="31.5">
      <c r="A317" s="9" t="s">
        <v>21</v>
      </c>
      <c r="B317" s="18" t="s">
        <v>226</v>
      </c>
      <c r="C317" s="265">
        <v>1640100000</v>
      </c>
      <c r="D317" s="265"/>
      <c r="E317" s="256" t="s">
        <v>230</v>
      </c>
      <c r="F317" s="22">
        <f t="shared" si="115"/>
        <v>144.6</v>
      </c>
      <c r="G317" s="22">
        <f t="shared" si="115"/>
        <v>134.6</v>
      </c>
    </row>
    <row r="318" spans="1:7" ht="12.75">
      <c r="A318" s="9" t="s">
        <v>21</v>
      </c>
      <c r="B318" s="18" t="s">
        <v>226</v>
      </c>
      <c r="C318" s="265">
        <v>1640120510</v>
      </c>
      <c r="D318" s="265"/>
      <c r="E318" s="256" t="s">
        <v>232</v>
      </c>
      <c r="F318" s="22">
        <f t="shared" si="115"/>
        <v>144.6</v>
      </c>
      <c r="G318" s="22">
        <f t="shared" si="115"/>
        <v>134.6</v>
      </c>
    </row>
    <row r="319" spans="1:7" ht="31.5">
      <c r="A319" s="9" t="s">
        <v>21</v>
      </c>
      <c r="B319" s="18" t="s">
        <v>226</v>
      </c>
      <c r="C319" s="265">
        <v>1640120510</v>
      </c>
      <c r="D319" s="265" t="s">
        <v>72</v>
      </c>
      <c r="E319" s="256" t="s">
        <v>95</v>
      </c>
      <c r="F319" s="22">
        <f t="shared" si="115"/>
        <v>144.6</v>
      </c>
      <c r="G319" s="22">
        <f t="shared" si="115"/>
        <v>134.6</v>
      </c>
    </row>
    <row r="320" spans="1:7" ht="31.5">
      <c r="A320" s="9" t="s">
        <v>21</v>
      </c>
      <c r="B320" s="18" t="s">
        <v>226</v>
      </c>
      <c r="C320" s="265">
        <v>1640120510</v>
      </c>
      <c r="D320" s="265">
        <v>240</v>
      </c>
      <c r="E320" s="256" t="s">
        <v>257</v>
      </c>
      <c r="F320" s="22">
        <f>279-134.4</f>
        <v>144.6</v>
      </c>
      <c r="G320" s="22">
        <v>134.6</v>
      </c>
    </row>
    <row r="321" spans="1:7" ht="12.75">
      <c r="A321" s="9" t="s">
        <v>21</v>
      </c>
      <c r="B321" s="265" t="s">
        <v>40</v>
      </c>
      <c r="C321" s="265" t="s">
        <v>69</v>
      </c>
      <c r="D321" s="265" t="s">
        <v>69</v>
      </c>
      <c r="E321" s="256" t="s">
        <v>99</v>
      </c>
      <c r="F321" s="22">
        <f>F332+F322</f>
        <v>144.4</v>
      </c>
      <c r="G321" s="22">
        <f>G332+G322</f>
        <v>98.9</v>
      </c>
    </row>
    <row r="322" spans="1:7" ht="31.5">
      <c r="A322" s="9" t="s">
        <v>21</v>
      </c>
      <c r="B322" s="265" t="s">
        <v>40</v>
      </c>
      <c r="C322" s="265">
        <v>1100000000</v>
      </c>
      <c r="D322" s="265"/>
      <c r="E322" s="256" t="s">
        <v>202</v>
      </c>
      <c r="F322" s="22">
        <f>F323</f>
        <v>85.5</v>
      </c>
      <c r="G322" s="22">
        <f aca="true" t="shared" si="116" ref="G322">G323</f>
        <v>40.1</v>
      </c>
    </row>
    <row r="323" spans="1:7" ht="31.5">
      <c r="A323" s="9" t="s">
        <v>21</v>
      </c>
      <c r="B323" s="265" t="s">
        <v>40</v>
      </c>
      <c r="C323" s="265">
        <v>1130000000</v>
      </c>
      <c r="D323" s="265"/>
      <c r="E323" s="256" t="s">
        <v>117</v>
      </c>
      <c r="F323" s="22">
        <f>F328+F324</f>
        <v>85.5</v>
      </c>
      <c r="G323" s="22">
        <f>G328+G324</f>
        <v>40.1</v>
      </c>
    </row>
    <row r="324" spans="1:7" ht="31.5">
      <c r="A324" s="9" t="s">
        <v>21</v>
      </c>
      <c r="B324" s="265" t="s">
        <v>40</v>
      </c>
      <c r="C324" s="265">
        <v>1130200000</v>
      </c>
      <c r="D324" s="265"/>
      <c r="E324" s="256" t="s">
        <v>194</v>
      </c>
      <c r="F324" s="22">
        <f>F325</f>
        <v>15.7</v>
      </c>
      <c r="G324" s="22">
        <f aca="true" t="shared" si="117" ref="G324:G326">G325</f>
        <v>15.6</v>
      </c>
    </row>
    <row r="325" spans="1:7" ht="31.5">
      <c r="A325" s="9" t="s">
        <v>21</v>
      </c>
      <c r="B325" s="265" t="s">
        <v>40</v>
      </c>
      <c r="C325" s="265">
        <v>1130220270</v>
      </c>
      <c r="D325" s="265"/>
      <c r="E325" s="256" t="s">
        <v>195</v>
      </c>
      <c r="F325" s="22">
        <f>F326</f>
        <v>15.7</v>
      </c>
      <c r="G325" s="22">
        <f t="shared" si="117"/>
        <v>15.6</v>
      </c>
    </row>
    <row r="326" spans="1:7" ht="12.75">
      <c r="A326" s="9" t="s">
        <v>21</v>
      </c>
      <c r="B326" s="265" t="s">
        <v>40</v>
      </c>
      <c r="C326" s="265">
        <v>1130220270</v>
      </c>
      <c r="D326" s="265" t="s">
        <v>76</v>
      </c>
      <c r="E326" s="256" t="s">
        <v>77</v>
      </c>
      <c r="F326" s="22">
        <f>F327</f>
        <v>15.7</v>
      </c>
      <c r="G326" s="22">
        <f t="shared" si="117"/>
        <v>15.6</v>
      </c>
    </row>
    <row r="327" spans="1:7" ht="12.75">
      <c r="A327" s="9" t="s">
        <v>21</v>
      </c>
      <c r="B327" s="265" t="s">
        <v>40</v>
      </c>
      <c r="C327" s="265">
        <v>1130220270</v>
      </c>
      <c r="D327" s="265">
        <v>350</v>
      </c>
      <c r="E327" s="256" t="s">
        <v>165</v>
      </c>
      <c r="F327" s="22">
        <v>15.7</v>
      </c>
      <c r="G327" s="22">
        <v>15.6</v>
      </c>
    </row>
    <row r="328" spans="1:7" ht="31.5">
      <c r="A328" s="9" t="s">
        <v>21</v>
      </c>
      <c r="B328" s="265" t="s">
        <v>40</v>
      </c>
      <c r="C328" s="265">
        <v>1130400000</v>
      </c>
      <c r="D328" s="265"/>
      <c r="E328" s="256" t="s">
        <v>148</v>
      </c>
      <c r="F328" s="22">
        <f>F329</f>
        <v>69.8</v>
      </c>
      <c r="G328" s="22">
        <f aca="true" t="shared" si="118" ref="G328:G330">G329</f>
        <v>24.5</v>
      </c>
    </row>
    <row r="329" spans="1:7" ht="31.5">
      <c r="A329" s="9" t="s">
        <v>21</v>
      </c>
      <c r="B329" s="265" t="s">
        <v>40</v>
      </c>
      <c r="C329" s="265">
        <v>1130420290</v>
      </c>
      <c r="D329" s="265"/>
      <c r="E329" s="256" t="s">
        <v>149</v>
      </c>
      <c r="F329" s="22">
        <f>F330</f>
        <v>69.8</v>
      </c>
      <c r="G329" s="22">
        <f t="shared" si="118"/>
        <v>24.5</v>
      </c>
    </row>
    <row r="330" spans="1:7" ht="31.5">
      <c r="A330" s="9" t="s">
        <v>21</v>
      </c>
      <c r="B330" s="265" t="s">
        <v>40</v>
      </c>
      <c r="C330" s="265">
        <v>1130420290</v>
      </c>
      <c r="D330" s="265" t="s">
        <v>72</v>
      </c>
      <c r="E330" s="256" t="s">
        <v>95</v>
      </c>
      <c r="F330" s="22">
        <f>F331</f>
        <v>69.8</v>
      </c>
      <c r="G330" s="22">
        <f t="shared" si="118"/>
        <v>24.5</v>
      </c>
    </row>
    <row r="331" spans="1:7" ht="31.5">
      <c r="A331" s="9" t="s">
        <v>21</v>
      </c>
      <c r="B331" s="265" t="s">
        <v>40</v>
      </c>
      <c r="C331" s="265">
        <v>1130420290</v>
      </c>
      <c r="D331" s="265">
        <v>240</v>
      </c>
      <c r="E331" s="256" t="s">
        <v>257</v>
      </c>
      <c r="F331" s="22">
        <v>69.8</v>
      </c>
      <c r="G331" s="22">
        <v>24.5</v>
      </c>
    </row>
    <row r="332" spans="1:7" ht="47.25">
      <c r="A332" s="9" t="s">
        <v>21</v>
      </c>
      <c r="B332" s="265" t="s">
        <v>40</v>
      </c>
      <c r="C332" s="265">
        <v>1200000000</v>
      </c>
      <c r="D332" s="265"/>
      <c r="E332" s="256" t="s">
        <v>197</v>
      </c>
      <c r="F332" s="22">
        <f>F333</f>
        <v>58.9</v>
      </c>
      <c r="G332" s="22">
        <f aca="true" t="shared" si="119" ref="G332:G333">G333</f>
        <v>58.8</v>
      </c>
    </row>
    <row r="333" spans="1:7" ht="31.5">
      <c r="A333" s="9" t="s">
        <v>21</v>
      </c>
      <c r="B333" s="265" t="s">
        <v>40</v>
      </c>
      <c r="C333" s="265">
        <v>1240000000</v>
      </c>
      <c r="D333" s="10"/>
      <c r="E333" s="256" t="s">
        <v>140</v>
      </c>
      <c r="F333" s="22">
        <f>F334</f>
        <v>58.9</v>
      </c>
      <c r="G333" s="22">
        <f t="shared" si="119"/>
        <v>58.8</v>
      </c>
    </row>
    <row r="334" spans="1:7" ht="31.5">
      <c r="A334" s="9" t="s">
        <v>21</v>
      </c>
      <c r="B334" s="265" t="s">
        <v>40</v>
      </c>
      <c r="C334" s="10" t="s">
        <v>142</v>
      </c>
      <c r="D334" s="10"/>
      <c r="E334" s="256" t="s">
        <v>148</v>
      </c>
      <c r="F334" s="22">
        <f>F335+F338</f>
        <v>58.9</v>
      </c>
      <c r="G334" s="22">
        <f>G335+G338</f>
        <v>58.8</v>
      </c>
    </row>
    <row r="335" spans="1:7" ht="31.5">
      <c r="A335" s="9" t="s">
        <v>21</v>
      </c>
      <c r="B335" s="265" t="s">
        <v>40</v>
      </c>
      <c r="C335" s="10" t="s">
        <v>144</v>
      </c>
      <c r="D335" s="10"/>
      <c r="E335" s="256" t="s">
        <v>143</v>
      </c>
      <c r="F335" s="22">
        <f>F336</f>
        <v>22.9</v>
      </c>
      <c r="G335" s="22">
        <f aca="true" t="shared" si="120" ref="G335:G336">G336</f>
        <v>22.8</v>
      </c>
    </row>
    <row r="336" spans="1:7" ht="31.5">
      <c r="A336" s="9" t="s">
        <v>21</v>
      </c>
      <c r="B336" s="265" t="s">
        <v>40</v>
      </c>
      <c r="C336" s="10" t="s">
        <v>144</v>
      </c>
      <c r="D336" s="265" t="s">
        <v>72</v>
      </c>
      <c r="E336" s="256" t="s">
        <v>95</v>
      </c>
      <c r="F336" s="22">
        <f>F337</f>
        <v>22.9</v>
      </c>
      <c r="G336" s="22">
        <f t="shared" si="120"/>
        <v>22.8</v>
      </c>
    </row>
    <row r="337" spans="1:7" ht="31.5">
      <c r="A337" s="9" t="s">
        <v>21</v>
      </c>
      <c r="B337" s="265" t="s">
        <v>40</v>
      </c>
      <c r="C337" s="10" t="s">
        <v>144</v>
      </c>
      <c r="D337" s="265">
        <v>240</v>
      </c>
      <c r="E337" s="256" t="s">
        <v>257</v>
      </c>
      <c r="F337" s="22">
        <v>22.9</v>
      </c>
      <c r="G337" s="22">
        <v>22.8</v>
      </c>
    </row>
    <row r="338" spans="1:7" ht="12.75">
      <c r="A338" s="9" t="s">
        <v>21</v>
      </c>
      <c r="B338" s="265" t="s">
        <v>40</v>
      </c>
      <c r="C338" s="10" t="s">
        <v>227</v>
      </c>
      <c r="D338" s="10"/>
      <c r="E338" s="256" t="s">
        <v>145</v>
      </c>
      <c r="F338" s="22">
        <f>F339</f>
        <v>36</v>
      </c>
      <c r="G338" s="22">
        <f aca="true" t="shared" si="121" ref="G338:G339">G339</f>
        <v>36</v>
      </c>
    </row>
    <row r="339" spans="1:7" ht="12.75">
      <c r="A339" s="9" t="s">
        <v>21</v>
      </c>
      <c r="B339" s="265" t="s">
        <v>40</v>
      </c>
      <c r="C339" s="10" t="s">
        <v>227</v>
      </c>
      <c r="D339" s="265" t="s">
        <v>76</v>
      </c>
      <c r="E339" s="256" t="s">
        <v>77</v>
      </c>
      <c r="F339" s="22">
        <f>F340</f>
        <v>36</v>
      </c>
      <c r="G339" s="22">
        <f t="shared" si="121"/>
        <v>36</v>
      </c>
    </row>
    <row r="340" spans="1:7" ht="12.75">
      <c r="A340" s="9" t="s">
        <v>21</v>
      </c>
      <c r="B340" s="265" t="s">
        <v>40</v>
      </c>
      <c r="C340" s="10" t="s">
        <v>227</v>
      </c>
      <c r="D340" s="10" t="s">
        <v>146</v>
      </c>
      <c r="E340" s="256" t="s">
        <v>147</v>
      </c>
      <c r="F340" s="22">
        <v>36</v>
      </c>
      <c r="G340" s="22">
        <v>36</v>
      </c>
    </row>
    <row r="341" spans="1:7" ht="12.75">
      <c r="A341" s="265" t="s">
        <v>21</v>
      </c>
      <c r="B341" s="265" t="s">
        <v>43</v>
      </c>
      <c r="C341" s="265" t="s">
        <v>69</v>
      </c>
      <c r="D341" s="265" t="s">
        <v>69</v>
      </c>
      <c r="E341" s="50" t="s">
        <v>85</v>
      </c>
      <c r="F341" s="22">
        <f>F342</f>
        <v>41375</v>
      </c>
      <c r="G341" s="22">
        <f aca="true" t="shared" si="122" ref="G341">G342</f>
        <v>41375</v>
      </c>
    </row>
    <row r="342" spans="1:7" ht="12.75">
      <c r="A342" s="265" t="s">
        <v>21</v>
      </c>
      <c r="B342" s="265" t="s">
        <v>44</v>
      </c>
      <c r="C342" s="265" t="s">
        <v>69</v>
      </c>
      <c r="D342" s="265" t="s">
        <v>69</v>
      </c>
      <c r="E342" s="256" t="s">
        <v>14</v>
      </c>
      <c r="F342" s="22">
        <f>F343+F378</f>
        <v>41375</v>
      </c>
      <c r="G342" s="22">
        <f>G343+G378</f>
        <v>41375</v>
      </c>
    </row>
    <row r="343" spans="1:7" ht="47.25">
      <c r="A343" s="265" t="s">
        <v>21</v>
      </c>
      <c r="B343" s="265" t="s">
        <v>44</v>
      </c>
      <c r="C343" s="265">
        <v>1200000000</v>
      </c>
      <c r="D343" s="265"/>
      <c r="E343" s="256" t="s">
        <v>197</v>
      </c>
      <c r="F343" s="22">
        <f>F344+F359</f>
        <v>41295</v>
      </c>
      <c r="G343" s="22">
        <f>G344+G359</f>
        <v>41295</v>
      </c>
    </row>
    <row r="344" spans="1:7" ht="22.9" customHeight="1">
      <c r="A344" s="265" t="s">
        <v>21</v>
      </c>
      <c r="B344" s="265" t="s">
        <v>44</v>
      </c>
      <c r="C344" s="265">
        <v>1210000000</v>
      </c>
      <c r="D344" s="265"/>
      <c r="E344" s="256" t="s">
        <v>211</v>
      </c>
      <c r="F344" s="22">
        <f>F345+F355</f>
        <v>14231.100000000002</v>
      </c>
      <c r="G344" s="22">
        <f>G345+G355</f>
        <v>14231.099999999999</v>
      </c>
    </row>
    <row r="345" spans="1:7" ht="31.5">
      <c r="A345" s="265" t="s">
        <v>21</v>
      </c>
      <c r="B345" s="265" t="s">
        <v>44</v>
      </c>
      <c r="C345" s="265">
        <v>1210100000</v>
      </c>
      <c r="D345" s="265"/>
      <c r="E345" s="256" t="s">
        <v>212</v>
      </c>
      <c r="F345" s="22">
        <f>F349+F346+F352</f>
        <v>14151.100000000002</v>
      </c>
      <c r="G345" s="22">
        <f aca="true" t="shared" si="123" ref="G345">G349+G346+G352</f>
        <v>14151.099999999999</v>
      </c>
    </row>
    <row r="346" spans="1:7" ht="47.25">
      <c r="A346" s="265" t="s">
        <v>21</v>
      </c>
      <c r="B346" s="265" t="s">
        <v>44</v>
      </c>
      <c r="C346" s="265">
        <v>1210110680</v>
      </c>
      <c r="D346" s="265"/>
      <c r="E346" s="93" t="s">
        <v>299</v>
      </c>
      <c r="F346" s="22">
        <f>F347</f>
        <v>4599.3</v>
      </c>
      <c r="G346" s="22">
        <f aca="true" t="shared" si="124" ref="G346:G347">G347</f>
        <v>4599.3</v>
      </c>
    </row>
    <row r="347" spans="1:7" ht="31.5">
      <c r="A347" s="265" t="s">
        <v>21</v>
      </c>
      <c r="B347" s="265" t="s">
        <v>44</v>
      </c>
      <c r="C347" s="265">
        <v>1210110680</v>
      </c>
      <c r="D347" s="265" t="s">
        <v>97</v>
      </c>
      <c r="E347" s="73" t="s">
        <v>98</v>
      </c>
      <c r="F347" s="22">
        <f>F348</f>
        <v>4599.3</v>
      </c>
      <c r="G347" s="22">
        <f t="shared" si="124"/>
        <v>4599.3</v>
      </c>
    </row>
    <row r="348" spans="1:7" ht="12.75">
      <c r="A348" s="265" t="s">
        <v>21</v>
      </c>
      <c r="B348" s="265" t="s">
        <v>44</v>
      </c>
      <c r="C348" s="265">
        <v>1210110680</v>
      </c>
      <c r="D348" s="265">
        <v>610</v>
      </c>
      <c r="E348" s="73" t="s">
        <v>106</v>
      </c>
      <c r="F348" s="22">
        <f>4553.8+45.5</f>
        <v>4599.3</v>
      </c>
      <c r="G348" s="22">
        <v>4599.3</v>
      </c>
    </row>
    <row r="349" spans="1:7" ht="31.5">
      <c r="A349" s="265" t="s">
        <v>21</v>
      </c>
      <c r="B349" s="265" t="s">
        <v>44</v>
      </c>
      <c r="C349" s="265">
        <v>1210120010</v>
      </c>
      <c r="D349" s="265"/>
      <c r="E349" s="256" t="s">
        <v>126</v>
      </c>
      <c r="F349" s="22">
        <f>F350</f>
        <v>9505.300000000001</v>
      </c>
      <c r="G349" s="22">
        <f aca="true" t="shared" si="125" ref="G349:G350">G350</f>
        <v>9505.3</v>
      </c>
    </row>
    <row r="350" spans="1:7" ht="31.5">
      <c r="A350" s="265" t="s">
        <v>21</v>
      </c>
      <c r="B350" s="265" t="s">
        <v>44</v>
      </c>
      <c r="C350" s="265">
        <v>1210120010</v>
      </c>
      <c r="D350" s="265" t="s">
        <v>97</v>
      </c>
      <c r="E350" s="256" t="s">
        <v>98</v>
      </c>
      <c r="F350" s="22">
        <f>F351</f>
        <v>9505.300000000001</v>
      </c>
      <c r="G350" s="22">
        <f t="shared" si="125"/>
        <v>9505.3</v>
      </c>
    </row>
    <row r="351" spans="1:7" ht="12.75">
      <c r="A351" s="265" t="s">
        <v>21</v>
      </c>
      <c r="B351" s="265" t="s">
        <v>44</v>
      </c>
      <c r="C351" s="265">
        <v>1210120010</v>
      </c>
      <c r="D351" s="265">
        <v>610</v>
      </c>
      <c r="E351" s="256" t="s">
        <v>106</v>
      </c>
      <c r="F351" s="22">
        <f>9564.1-45.6+119.7-0.5-132.4</f>
        <v>9505.300000000001</v>
      </c>
      <c r="G351" s="22">
        <v>9505.3</v>
      </c>
    </row>
    <row r="352" spans="1:7" ht="33.6" customHeight="1">
      <c r="A352" s="265" t="s">
        <v>21</v>
      </c>
      <c r="B352" s="265" t="s">
        <v>44</v>
      </c>
      <c r="C352" s="265" t="s">
        <v>311</v>
      </c>
      <c r="D352" s="265"/>
      <c r="E352" s="93" t="s">
        <v>312</v>
      </c>
      <c r="F352" s="22">
        <f>F353</f>
        <v>46.5</v>
      </c>
      <c r="G352" s="22">
        <f>G353</f>
        <v>46.5</v>
      </c>
    </row>
    <row r="353" spans="1:7" ht="31.5">
      <c r="A353" s="265" t="s">
        <v>21</v>
      </c>
      <c r="B353" s="265" t="s">
        <v>44</v>
      </c>
      <c r="C353" s="265" t="s">
        <v>311</v>
      </c>
      <c r="D353" s="265" t="s">
        <v>97</v>
      </c>
      <c r="E353" s="73" t="s">
        <v>98</v>
      </c>
      <c r="F353" s="22">
        <f>F354</f>
        <v>46.5</v>
      </c>
      <c r="G353" s="22">
        <f aca="true" t="shared" si="126" ref="G353">G354</f>
        <v>46.5</v>
      </c>
    </row>
    <row r="354" spans="1:7" ht="12.75">
      <c r="A354" s="265" t="s">
        <v>21</v>
      </c>
      <c r="B354" s="265" t="s">
        <v>44</v>
      </c>
      <c r="C354" s="265" t="s">
        <v>311</v>
      </c>
      <c r="D354" s="265">
        <v>610</v>
      </c>
      <c r="E354" s="73" t="s">
        <v>106</v>
      </c>
      <c r="F354" s="22">
        <f>45.6+0.4+0.5</f>
        <v>46.5</v>
      </c>
      <c r="G354" s="22">
        <v>46.5</v>
      </c>
    </row>
    <row r="355" spans="1:7" ht="31.5">
      <c r="A355" s="265" t="s">
        <v>21</v>
      </c>
      <c r="B355" s="265" t="s">
        <v>44</v>
      </c>
      <c r="C355" s="265">
        <v>1210300000</v>
      </c>
      <c r="D355" s="265"/>
      <c r="E355" s="256" t="s">
        <v>213</v>
      </c>
      <c r="F355" s="22">
        <f>F356</f>
        <v>80</v>
      </c>
      <c r="G355" s="22">
        <f aca="true" t="shared" si="127" ref="G355">G356</f>
        <v>80</v>
      </c>
    </row>
    <row r="356" spans="1:7" ht="12.75">
      <c r="A356" s="265" t="s">
        <v>21</v>
      </c>
      <c r="B356" s="265" t="s">
        <v>44</v>
      </c>
      <c r="C356" s="265">
        <v>1210320010</v>
      </c>
      <c r="D356" s="265"/>
      <c r="E356" s="256" t="s">
        <v>254</v>
      </c>
      <c r="F356" s="22">
        <f>F357</f>
        <v>80</v>
      </c>
      <c r="G356" s="22">
        <f aca="true" t="shared" si="128" ref="G356:G357">G357</f>
        <v>80</v>
      </c>
    </row>
    <row r="357" spans="1:7" ht="31.5">
      <c r="A357" s="265" t="s">
        <v>21</v>
      </c>
      <c r="B357" s="265" t="s">
        <v>44</v>
      </c>
      <c r="C357" s="265">
        <v>1210320010</v>
      </c>
      <c r="D357" s="265" t="s">
        <v>97</v>
      </c>
      <c r="E357" s="256" t="s">
        <v>98</v>
      </c>
      <c r="F357" s="22">
        <f>F358</f>
        <v>80</v>
      </c>
      <c r="G357" s="22">
        <f t="shared" si="128"/>
        <v>80</v>
      </c>
    </row>
    <row r="358" spans="1:7" ht="12.75">
      <c r="A358" s="265" t="s">
        <v>21</v>
      </c>
      <c r="B358" s="265" t="s">
        <v>44</v>
      </c>
      <c r="C358" s="265">
        <v>1210320010</v>
      </c>
      <c r="D358" s="265">
        <v>610</v>
      </c>
      <c r="E358" s="256" t="s">
        <v>106</v>
      </c>
      <c r="F358" s="22">
        <v>80</v>
      </c>
      <c r="G358" s="22">
        <v>80</v>
      </c>
    </row>
    <row r="359" spans="1:7" ht="31.5">
      <c r="A359" s="265" t="s">
        <v>21</v>
      </c>
      <c r="B359" s="265" t="s">
        <v>44</v>
      </c>
      <c r="C359" s="265">
        <v>1220000000</v>
      </c>
      <c r="D359" s="265"/>
      <c r="E359" s="256" t="s">
        <v>150</v>
      </c>
      <c r="F359" s="22">
        <f>F360+F370+F374</f>
        <v>27063.899999999998</v>
      </c>
      <c r="G359" s="22">
        <f aca="true" t="shared" si="129" ref="G359">G360+G370+G374</f>
        <v>27063.899999999998</v>
      </c>
    </row>
    <row r="360" spans="1:7" ht="31.5">
      <c r="A360" s="265" t="s">
        <v>21</v>
      </c>
      <c r="B360" s="265" t="s">
        <v>44</v>
      </c>
      <c r="C360" s="265">
        <v>1220100000</v>
      </c>
      <c r="D360" s="265"/>
      <c r="E360" s="256" t="s">
        <v>214</v>
      </c>
      <c r="F360" s="22">
        <f>F364+F361+F367</f>
        <v>25749.399999999998</v>
      </c>
      <c r="G360" s="22">
        <f aca="true" t="shared" si="130" ref="G360">G364+G361+G367</f>
        <v>25749.399999999998</v>
      </c>
    </row>
    <row r="361" spans="1:7" ht="47.25">
      <c r="A361" s="265" t="s">
        <v>21</v>
      </c>
      <c r="B361" s="265" t="s">
        <v>44</v>
      </c>
      <c r="C361" s="265">
        <v>1220110680</v>
      </c>
      <c r="D361" s="265"/>
      <c r="E361" s="93" t="s">
        <v>299</v>
      </c>
      <c r="F361" s="22">
        <f>F362</f>
        <v>8393.8</v>
      </c>
      <c r="G361" s="22">
        <f aca="true" t="shared" si="131" ref="G361:G362">G362</f>
        <v>8393.8</v>
      </c>
    </row>
    <row r="362" spans="1:7" ht="31.5">
      <c r="A362" s="265" t="s">
        <v>21</v>
      </c>
      <c r="B362" s="265" t="s">
        <v>44</v>
      </c>
      <c r="C362" s="265">
        <v>1220110680</v>
      </c>
      <c r="D362" s="265" t="s">
        <v>97</v>
      </c>
      <c r="E362" s="73" t="s">
        <v>98</v>
      </c>
      <c r="F362" s="22">
        <f>F363</f>
        <v>8393.8</v>
      </c>
      <c r="G362" s="22">
        <f t="shared" si="131"/>
        <v>8393.8</v>
      </c>
    </row>
    <row r="363" spans="1:7" ht="12.75">
      <c r="A363" s="265" t="s">
        <v>21</v>
      </c>
      <c r="B363" s="265" t="s">
        <v>44</v>
      </c>
      <c r="C363" s="265">
        <v>1220110680</v>
      </c>
      <c r="D363" s="265">
        <v>610</v>
      </c>
      <c r="E363" s="73" t="s">
        <v>106</v>
      </c>
      <c r="F363" s="22">
        <f>8439.3-45.5</f>
        <v>8393.8</v>
      </c>
      <c r="G363" s="22">
        <v>8393.8</v>
      </c>
    </row>
    <row r="364" spans="1:7" ht="31.5">
      <c r="A364" s="265" t="s">
        <v>21</v>
      </c>
      <c r="B364" s="265" t="s">
        <v>44</v>
      </c>
      <c r="C364" s="265">
        <v>1220120010</v>
      </c>
      <c r="D364" s="265"/>
      <c r="E364" s="256" t="s">
        <v>126</v>
      </c>
      <c r="F364" s="22">
        <f>F365</f>
        <v>17270.8</v>
      </c>
      <c r="G364" s="22">
        <f aca="true" t="shared" si="132" ref="G364:G365">G365</f>
        <v>17270.8</v>
      </c>
    </row>
    <row r="365" spans="1:7" ht="31.5">
      <c r="A365" s="265" t="s">
        <v>21</v>
      </c>
      <c r="B365" s="265" t="s">
        <v>44</v>
      </c>
      <c r="C365" s="265">
        <v>1220120010</v>
      </c>
      <c r="D365" s="265" t="s">
        <v>97</v>
      </c>
      <c r="E365" s="256" t="s">
        <v>98</v>
      </c>
      <c r="F365" s="22">
        <f>F366</f>
        <v>17270.8</v>
      </c>
      <c r="G365" s="22">
        <f t="shared" si="132"/>
        <v>17270.8</v>
      </c>
    </row>
    <row r="366" spans="1:7" ht="12.75">
      <c r="A366" s="265" t="s">
        <v>21</v>
      </c>
      <c r="B366" s="265" t="s">
        <v>44</v>
      </c>
      <c r="C366" s="265">
        <v>1220120010</v>
      </c>
      <c r="D366" s="265">
        <v>610</v>
      </c>
      <c r="E366" s="256" t="s">
        <v>106</v>
      </c>
      <c r="F366" s="22">
        <f>17852.4-84.4-119.7-0.8-376.7</f>
        <v>17270.8</v>
      </c>
      <c r="G366" s="22">
        <v>17270.8</v>
      </c>
    </row>
    <row r="367" spans="1:7" ht="31.15" customHeight="1">
      <c r="A367" s="265" t="s">
        <v>21</v>
      </c>
      <c r="B367" s="265" t="s">
        <v>44</v>
      </c>
      <c r="C367" s="265" t="s">
        <v>313</v>
      </c>
      <c r="D367" s="265"/>
      <c r="E367" s="93" t="s">
        <v>312</v>
      </c>
      <c r="F367" s="22">
        <f>F368</f>
        <v>84.8</v>
      </c>
      <c r="G367" s="22">
        <f aca="true" t="shared" si="133" ref="G367:G368">G368</f>
        <v>84.8</v>
      </c>
    </row>
    <row r="368" spans="1:7" ht="31.5">
      <c r="A368" s="265" t="s">
        <v>21</v>
      </c>
      <c r="B368" s="265" t="s">
        <v>44</v>
      </c>
      <c r="C368" s="265" t="s">
        <v>313</v>
      </c>
      <c r="D368" s="265" t="s">
        <v>97</v>
      </c>
      <c r="E368" s="73" t="s">
        <v>98</v>
      </c>
      <c r="F368" s="22">
        <f>F369</f>
        <v>84.8</v>
      </c>
      <c r="G368" s="22">
        <f t="shared" si="133"/>
        <v>84.8</v>
      </c>
    </row>
    <row r="369" spans="1:7" ht="12.75">
      <c r="A369" s="265" t="s">
        <v>21</v>
      </c>
      <c r="B369" s="265" t="s">
        <v>44</v>
      </c>
      <c r="C369" s="265" t="s">
        <v>313</v>
      </c>
      <c r="D369" s="265">
        <v>610</v>
      </c>
      <c r="E369" s="73" t="s">
        <v>106</v>
      </c>
      <c r="F369" s="22">
        <f>84.4-0.4+0.8</f>
        <v>84.8</v>
      </c>
      <c r="G369" s="22">
        <v>84.8</v>
      </c>
    </row>
    <row r="370" spans="1:7" ht="31.5">
      <c r="A370" s="265" t="s">
        <v>21</v>
      </c>
      <c r="B370" s="265" t="s">
        <v>44</v>
      </c>
      <c r="C370" s="265">
        <v>1220500000</v>
      </c>
      <c r="D370" s="265"/>
      <c r="E370" s="256" t="s">
        <v>215</v>
      </c>
      <c r="F370" s="22">
        <f>F371</f>
        <v>1100.3000000000002</v>
      </c>
      <c r="G370" s="22">
        <f aca="true" t="shared" si="134" ref="G370:G372">G371</f>
        <v>1100.3</v>
      </c>
    </row>
    <row r="371" spans="1:7" ht="12.75">
      <c r="A371" s="265" t="s">
        <v>21</v>
      </c>
      <c r="B371" s="265" t="s">
        <v>44</v>
      </c>
      <c r="C371" s="265">
        <v>1220520320</v>
      </c>
      <c r="D371" s="265"/>
      <c r="E371" s="256" t="s">
        <v>151</v>
      </c>
      <c r="F371" s="22">
        <f>F372</f>
        <v>1100.3000000000002</v>
      </c>
      <c r="G371" s="22">
        <f t="shared" si="134"/>
        <v>1100.3</v>
      </c>
    </row>
    <row r="372" spans="1:7" ht="31.5">
      <c r="A372" s="265" t="s">
        <v>21</v>
      </c>
      <c r="B372" s="265" t="s">
        <v>44</v>
      </c>
      <c r="C372" s="265">
        <v>1220520320</v>
      </c>
      <c r="D372" s="265" t="s">
        <v>97</v>
      </c>
      <c r="E372" s="256" t="s">
        <v>98</v>
      </c>
      <c r="F372" s="22">
        <f>F373</f>
        <v>1100.3000000000002</v>
      </c>
      <c r="G372" s="22">
        <f t="shared" si="134"/>
        <v>1100.3</v>
      </c>
    </row>
    <row r="373" spans="1:7" ht="12.75">
      <c r="A373" s="265" t="s">
        <v>21</v>
      </c>
      <c r="B373" s="265" t="s">
        <v>44</v>
      </c>
      <c r="C373" s="265">
        <v>1220520320</v>
      </c>
      <c r="D373" s="265">
        <v>610</v>
      </c>
      <c r="E373" s="256" t="s">
        <v>106</v>
      </c>
      <c r="F373" s="22">
        <f>870.8+300-367.3-97.3+394.1</f>
        <v>1100.3000000000002</v>
      </c>
      <c r="G373" s="22">
        <v>1100.3</v>
      </c>
    </row>
    <row r="374" spans="1:7" ht="47.25">
      <c r="A374" s="265" t="s">
        <v>21</v>
      </c>
      <c r="B374" s="265" t="s">
        <v>44</v>
      </c>
      <c r="C374" s="265">
        <v>1220600000</v>
      </c>
      <c r="D374" s="265"/>
      <c r="E374" s="256" t="s">
        <v>421</v>
      </c>
      <c r="F374" s="22">
        <f>F375</f>
        <v>214.2</v>
      </c>
      <c r="G374" s="22">
        <f aca="true" t="shared" si="135" ref="G374:G376">G375</f>
        <v>214.2</v>
      </c>
    </row>
    <row r="375" spans="1:7" ht="31.5">
      <c r="A375" s="265" t="s">
        <v>21</v>
      </c>
      <c r="B375" s="265" t="s">
        <v>44</v>
      </c>
      <c r="C375" s="265">
        <v>1220620020</v>
      </c>
      <c r="D375" s="265"/>
      <c r="E375" s="256" t="s">
        <v>321</v>
      </c>
      <c r="F375" s="22">
        <f>F376</f>
        <v>214.2</v>
      </c>
      <c r="G375" s="22">
        <f t="shared" si="135"/>
        <v>214.2</v>
      </c>
    </row>
    <row r="376" spans="1:7" ht="31.5">
      <c r="A376" s="265" t="s">
        <v>21</v>
      </c>
      <c r="B376" s="265" t="s">
        <v>44</v>
      </c>
      <c r="C376" s="265">
        <v>1220620020</v>
      </c>
      <c r="D376" s="265" t="s">
        <v>97</v>
      </c>
      <c r="E376" s="73" t="s">
        <v>98</v>
      </c>
      <c r="F376" s="22">
        <f>F377</f>
        <v>214.2</v>
      </c>
      <c r="G376" s="22">
        <f t="shared" si="135"/>
        <v>214.2</v>
      </c>
    </row>
    <row r="377" spans="1:7" ht="12.75">
      <c r="A377" s="265" t="s">
        <v>21</v>
      </c>
      <c r="B377" s="265" t="s">
        <v>44</v>
      </c>
      <c r="C377" s="265">
        <v>1220620020</v>
      </c>
      <c r="D377" s="265">
        <v>610</v>
      </c>
      <c r="E377" s="73" t="s">
        <v>106</v>
      </c>
      <c r="F377" s="22">
        <f>97.3+116.9</f>
        <v>214.2</v>
      </c>
      <c r="G377" s="22">
        <v>214.2</v>
      </c>
    </row>
    <row r="378" spans="1:7" ht="12.75">
      <c r="A378" s="265" t="s">
        <v>21</v>
      </c>
      <c r="B378" s="265" t="s">
        <v>44</v>
      </c>
      <c r="C378" s="265">
        <v>9900000000</v>
      </c>
      <c r="D378" s="265"/>
      <c r="E378" s="73" t="s">
        <v>107</v>
      </c>
      <c r="F378" s="22">
        <f>F379</f>
        <v>80</v>
      </c>
      <c r="G378" s="22">
        <f aca="true" t="shared" si="136" ref="G378:G381">G379</f>
        <v>80</v>
      </c>
    </row>
    <row r="379" spans="1:7" ht="47.25">
      <c r="A379" s="265" t="s">
        <v>21</v>
      </c>
      <c r="B379" s="265" t="s">
        <v>44</v>
      </c>
      <c r="C379" s="265">
        <v>9920000000</v>
      </c>
      <c r="D379" s="265"/>
      <c r="E379" s="73" t="s">
        <v>381</v>
      </c>
      <c r="F379" s="22">
        <f>F380</f>
        <v>80</v>
      </c>
      <c r="G379" s="22">
        <f t="shared" si="136"/>
        <v>80</v>
      </c>
    </row>
    <row r="380" spans="1:7" ht="31.5">
      <c r="A380" s="265" t="s">
        <v>21</v>
      </c>
      <c r="B380" s="265" t="s">
        <v>44</v>
      </c>
      <c r="C380" s="265">
        <v>9920010920</v>
      </c>
      <c r="D380" s="265"/>
      <c r="E380" s="73" t="s">
        <v>382</v>
      </c>
      <c r="F380" s="22">
        <f>F381</f>
        <v>80</v>
      </c>
      <c r="G380" s="22">
        <f t="shared" si="136"/>
        <v>80</v>
      </c>
    </row>
    <row r="381" spans="1:7" ht="31.5">
      <c r="A381" s="265" t="s">
        <v>21</v>
      </c>
      <c r="B381" s="265" t="s">
        <v>44</v>
      </c>
      <c r="C381" s="265">
        <v>9920010920</v>
      </c>
      <c r="D381" s="265" t="s">
        <v>97</v>
      </c>
      <c r="E381" s="73" t="s">
        <v>98</v>
      </c>
      <c r="F381" s="22">
        <f>F382</f>
        <v>80</v>
      </c>
      <c r="G381" s="22">
        <f t="shared" si="136"/>
        <v>80</v>
      </c>
    </row>
    <row r="382" spans="1:7" ht="12.75">
      <c r="A382" s="265" t="s">
        <v>21</v>
      </c>
      <c r="B382" s="265" t="s">
        <v>44</v>
      </c>
      <c r="C382" s="265">
        <v>9920010920</v>
      </c>
      <c r="D382" s="265">
        <v>610</v>
      </c>
      <c r="E382" s="73" t="s">
        <v>106</v>
      </c>
      <c r="F382" s="22">
        <v>80</v>
      </c>
      <c r="G382" s="22">
        <v>80</v>
      </c>
    </row>
    <row r="383" spans="1:7" ht="12.75">
      <c r="A383" s="265" t="s">
        <v>21</v>
      </c>
      <c r="B383" s="265" t="s">
        <v>41</v>
      </c>
      <c r="C383" s="265" t="s">
        <v>69</v>
      </c>
      <c r="D383" s="265" t="s">
        <v>69</v>
      </c>
      <c r="E383" s="50" t="s">
        <v>33</v>
      </c>
      <c r="F383" s="22">
        <f>F384+F391+F406</f>
        <v>11568.2</v>
      </c>
      <c r="G383" s="22">
        <f>G384+G391+G406</f>
        <v>11259.1</v>
      </c>
    </row>
    <row r="384" spans="1:7" ht="12.75">
      <c r="A384" s="265" t="s">
        <v>21</v>
      </c>
      <c r="B384" s="265" t="s">
        <v>56</v>
      </c>
      <c r="C384" s="265" t="s">
        <v>69</v>
      </c>
      <c r="D384" s="265" t="s">
        <v>69</v>
      </c>
      <c r="E384" s="256" t="s">
        <v>34</v>
      </c>
      <c r="F384" s="22">
        <f aca="true" t="shared" si="137" ref="F384:F389">F385</f>
        <v>917.5</v>
      </c>
      <c r="G384" s="22">
        <f aca="true" t="shared" si="138" ref="G384:G387">G385</f>
        <v>917.5</v>
      </c>
    </row>
    <row r="385" spans="1:7" ht="47.25">
      <c r="A385" s="265" t="s">
        <v>21</v>
      </c>
      <c r="B385" s="265" t="s">
        <v>56</v>
      </c>
      <c r="C385" s="265">
        <v>1200000000</v>
      </c>
      <c r="D385" s="265"/>
      <c r="E385" s="256" t="s">
        <v>197</v>
      </c>
      <c r="F385" s="22">
        <f t="shared" si="137"/>
        <v>917.5</v>
      </c>
      <c r="G385" s="22">
        <f t="shared" si="138"/>
        <v>917.5</v>
      </c>
    </row>
    <row r="386" spans="1:7" ht="31.5">
      <c r="A386" s="265" t="s">
        <v>21</v>
      </c>
      <c r="B386" s="265" t="s">
        <v>56</v>
      </c>
      <c r="C386" s="265">
        <v>1240000000</v>
      </c>
      <c r="D386" s="265"/>
      <c r="E386" s="256" t="s">
        <v>140</v>
      </c>
      <c r="F386" s="22">
        <f t="shared" si="137"/>
        <v>917.5</v>
      </c>
      <c r="G386" s="22">
        <f t="shared" si="138"/>
        <v>917.5</v>
      </c>
    </row>
    <row r="387" spans="1:7" ht="12.75">
      <c r="A387" s="265" t="s">
        <v>21</v>
      </c>
      <c r="B387" s="265" t="s">
        <v>56</v>
      </c>
      <c r="C387" s="265">
        <v>1240400000</v>
      </c>
      <c r="D387" s="265"/>
      <c r="E387" s="256" t="s">
        <v>216</v>
      </c>
      <c r="F387" s="22">
        <f t="shared" si="137"/>
        <v>917.5</v>
      </c>
      <c r="G387" s="22">
        <f t="shared" si="138"/>
        <v>917.5</v>
      </c>
    </row>
    <row r="388" spans="1:7" ht="47.25">
      <c r="A388" s="265" t="s">
        <v>21</v>
      </c>
      <c r="B388" s="265" t="s">
        <v>56</v>
      </c>
      <c r="C388" s="265">
        <v>1240420390</v>
      </c>
      <c r="D388" s="265"/>
      <c r="E388" s="256" t="s">
        <v>70</v>
      </c>
      <c r="F388" s="22">
        <f t="shared" si="137"/>
        <v>917.5</v>
      </c>
      <c r="G388" s="22">
        <f>G389</f>
        <v>917.5</v>
      </c>
    </row>
    <row r="389" spans="1:7" ht="12.75">
      <c r="A389" s="265" t="s">
        <v>21</v>
      </c>
      <c r="B389" s="265" t="s">
        <v>56</v>
      </c>
      <c r="C389" s="265">
        <v>1240420390</v>
      </c>
      <c r="D389" s="265" t="s">
        <v>76</v>
      </c>
      <c r="E389" s="256" t="s">
        <v>77</v>
      </c>
      <c r="F389" s="22">
        <f t="shared" si="137"/>
        <v>917.5</v>
      </c>
      <c r="G389" s="22">
        <f aca="true" t="shared" si="139" ref="G389">G390</f>
        <v>917.5</v>
      </c>
    </row>
    <row r="390" spans="1:7" ht="12.75">
      <c r="A390" s="265" t="s">
        <v>21</v>
      </c>
      <c r="B390" s="265" t="s">
        <v>56</v>
      </c>
      <c r="C390" s="265">
        <v>1240420390</v>
      </c>
      <c r="D390" s="265" t="s">
        <v>152</v>
      </c>
      <c r="E390" s="256" t="s">
        <v>153</v>
      </c>
      <c r="F390" s="22">
        <f>1317.7-400.2</f>
        <v>917.5</v>
      </c>
      <c r="G390" s="22">
        <v>917.5</v>
      </c>
    </row>
    <row r="391" spans="1:7" ht="12.75">
      <c r="A391" s="265" t="s">
        <v>21</v>
      </c>
      <c r="B391" s="265" t="s">
        <v>42</v>
      </c>
      <c r="C391" s="265" t="s">
        <v>69</v>
      </c>
      <c r="D391" s="265" t="s">
        <v>69</v>
      </c>
      <c r="E391" s="256" t="s">
        <v>36</v>
      </c>
      <c r="F391" s="22">
        <f>F392</f>
        <v>741</v>
      </c>
      <c r="G391" s="22">
        <f>G392</f>
        <v>736</v>
      </c>
    </row>
    <row r="392" spans="1:7" ht="47.25">
      <c r="A392" s="265" t="s">
        <v>21</v>
      </c>
      <c r="B392" s="265" t="s">
        <v>42</v>
      </c>
      <c r="C392" s="265">
        <v>1200000000</v>
      </c>
      <c r="D392" s="265"/>
      <c r="E392" s="256" t="s">
        <v>197</v>
      </c>
      <c r="F392" s="22">
        <f>F393</f>
        <v>741</v>
      </c>
      <c r="G392" s="22">
        <f aca="true" t="shared" si="140" ref="G392:G394">G393</f>
        <v>736</v>
      </c>
    </row>
    <row r="393" spans="1:7" ht="31.5">
      <c r="A393" s="265" t="s">
        <v>21</v>
      </c>
      <c r="B393" s="265" t="s">
        <v>42</v>
      </c>
      <c r="C393" s="265">
        <v>1240000000</v>
      </c>
      <c r="D393" s="265"/>
      <c r="E393" s="256" t="s">
        <v>140</v>
      </c>
      <c r="F393" s="22">
        <f>F394+F398+F402</f>
        <v>741</v>
      </c>
      <c r="G393" s="22">
        <f>G394+G398+G402</f>
        <v>736</v>
      </c>
    </row>
    <row r="394" spans="1:7" ht="31.5">
      <c r="A394" s="265" t="s">
        <v>21</v>
      </c>
      <c r="B394" s="265" t="s">
        <v>42</v>
      </c>
      <c r="C394" s="265">
        <v>1240100000</v>
      </c>
      <c r="D394" s="265"/>
      <c r="E394" s="256" t="s">
        <v>217</v>
      </c>
      <c r="F394" s="22">
        <f>F395</f>
        <v>490</v>
      </c>
      <c r="G394" s="22">
        <f t="shared" si="140"/>
        <v>490</v>
      </c>
    </row>
    <row r="395" spans="1:7" ht="31.5">
      <c r="A395" s="265" t="s">
        <v>21</v>
      </c>
      <c r="B395" s="265" t="s">
        <v>42</v>
      </c>
      <c r="C395" s="265">
        <v>1240120330</v>
      </c>
      <c r="D395" s="265"/>
      <c r="E395" s="256" t="s">
        <v>155</v>
      </c>
      <c r="F395" s="22">
        <f>F396</f>
        <v>490</v>
      </c>
      <c r="G395" s="22">
        <f aca="true" t="shared" si="141" ref="G395:G396">G396</f>
        <v>490</v>
      </c>
    </row>
    <row r="396" spans="1:7" ht="31.5">
      <c r="A396" s="265" t="s">
        <v>21</v>
      </c>
      <c r="B396" s="265" t="s">
        <v>42</v>
      </c>
      <c r="C396" s="265">
        <v>1240120330</v>
      </c>
      <c r="D396" s="265" t="s">
        <v>97</v>
      </c>
      <c r="E396" s="256" t="s">
        <v>98</v>
      </c>
      <c r="F396" s="22">
        <f>F397</f>
        <v>490</v>
      </c>
      <c r="G396" s="22">
        <f t="shared" si="141"/>
        <v>490</v>
      </c>
    </row>
    <row r="397" spans="1:7" ht="31.5">
      <c r="A397" s="265" t="s">
        <v>21</v>
      </c>
      <c r="B397" s="265" t="s">
        <v>42</v>
      </c>
      <c r="C397" s="265">
        <v>1240120330</v>
      </c>
      <c r="D397" s="265">
        <v>630</v>
      </c>
      <c r="E397" s="256" t="s">
        <v>156</v>
      </c>
      <c r="F397" s="22">
        <f>408+82</f>
        <v>490</v>
      </c>
      <c r="G397" s="22">
        <v>490</v>
      </c>
    </row>
    <row r="398" spans="1:7" ht="31.5">
      <c r="A398" s="265" t="s">
        <v>21</v>
      </c>
      <c r="B398" s="265" t="s">
        <v>42</v>
      </c>
      <c r="C398" s="265">
        <v>1240200000</v>
      </c>
      <c r="D398" s="265"/>
      <c r="E398" s="256" t="s">
        <v>157</v>
      </c>
      <c r="F398" s="22">
        <f>F399</f>
        <v>92</v>
      </c>
      <c r="G398" s="22">
        <f aca="true" t="shared" si="142" ref="G398">G399</f>
        <v>92</v>
      </c>
    </row>
    <row r="399" spans="1:7" ht="31.5">
      <c r="A399" s="265" t="s">
        <v>21</v>
      </c>
      <c r="B399" s="265" t="s">
        <v>42</v>
      </c>
      <c r="C399" s="265">
        <v>1240220350</v>
      </c>
      <c r="D399" s="265"/>
      <c r="E399" s="256" t="s">
        <v>218</v>
      </c>
      <c r="F399" s="22">
        <f>F400</f>
        <v>92</v>
      </c>
      <c r="G399" s="22">
        <f>G400</f>
        <v>92</v>
      </c>
    </row>
    <row r="400" spans="1:7" ht="12.75">
      <c r="A400" s="265" t="s">
        <v>21</v>
      </c>
      <c r="B400" s="265" t="s">
        <v>42</v>
      </c>
      <c r="C400" s="265">
        <v>1240220350</v>
      </c>
      <c r="D400" s="265" t="s">
        <v>76</v>
      </c>
      <c r="E400" s="256" t="s">
        <v>77</v>
      </c>
      <c r="F400" s="22">
        <f>F401</f>
        <v>92</v>
      </c>
      <c r="G400" s="22">
        <f aca="true" t="shared" si="143" ref="G400">G401</f>
        <v>92</v>
      </c>
    </row>
    <row r="401" spans="1:7" ht="12.75">
      <c r="A401" s="265" t="s">
        <v>21</v>
      </c>
      <c r="B401" s="265" t="s">
        <v>42</v>
      </c>
      <c r="C401" s="265">
        <v>1240220350</v>
      </c>
      <c r="D401" s="265" t="s">
        <v>152</v>
      </c>
      <c r="E401" s="256" t="s">
        <v>153</v>
      </c>
      <c r="F401" s="22">
        <f>104-1.6-10.4</f>
        <v>92</v>
      </c>
      <c r="G401" s="22">
        <v>92</v>
      </c>
    </row>
    <row r="402" spans="1:7" ht="12.75">
      <c r="A402" s="265" t="s">
        <v>21</v>
      </c>
      <c r="B402" s="265" t="s">
        <v>42</v>
      </c>
      <c r="C402" s="265">
        <v>1240400000</v>
      </c>
      <c r="D402" s="265"/>
      <c r="E402" s="256" t="s">
        <v>216</v>
      </c>
      <c r="F402" s="22">
        <f>F403</f>
        <v>159</v>
      </c>
      <c r="G402" s="22">
        <f aca="true" t="shared" si="144" ref="G402">G403</f>
        <v>154</v>
      </c>
    </row>
    <row r="403" spans="1:7" ht="24.6" customHeight="1">
      <c r="A403" s="265" t="s">
        <v>21</v>
      </c>
      <c r="B403" s="265" t="s">
        <v>42</v>
      </c>
      <c r="C403" s="265">
        <v>1240420380</v>
      </c>
      <c r="D403" s="265"/>
      <c r="E403" s="256" t="s">
        <v>154</v>
      </c>
      <c r="F403" s="22">
        <f>F404</f>
        <v>159</v>
      </c>
      <c r="G403" s="22">
        <f aca="true" t="shared" si="145" ref="G403:G404">G404</f>
        <v>154</v>
      </c>
    </row>
    <row r="404" spans="1:7" ht="12.75">
      <c r="A404" s="265" t="s">
        <v>21</v>
      </c>
      <c r="B404" s="265" t="s">
        <v>42</v>
      </c>
      <c r="C404" s="265">
        <v>1240420380</v>
      </c>
      <c r="D404" s="265" t="s">
        <v>76</v>
      </c>
      <c r="E404" s="256" t="s">
        <v>77</v>
      </c>
      <c r="F404" s="22">
        <f>F405</f>
        <v>159</v>
      </c>
      <c r="G404" s="22">
        <f t="shared" si="145"/>
        <v>154</v>
      </c>
    </row>
    <row r="405" spans="1:7" ht="31.5">
      <c r="A405" s="265" t="s">
        <v>21</v>
      </c>
      <c r="B405" s="265" t="s">
        <v>42</v>
      </c>
      <c r="C405" s="265">
        <v>1240420380</v>
      </c>
      <c r="D405" s="265" t="s">
        <v>103</v>
      </c>
      <c r="E405" s="256" t="s">
        <v>104</v>
      </c>
      <c r="F405" s="22">
        <v>159</v>
      </c>
      <c r="G405" s="22">
        <v>154</v>
      </c>
    </row>
    <row r="406" spans="1:7" ht="12.75">
      <c r="A406" s="265" t="s">
        <v>21</v>
      </c>
      <c r="B406" s="265">
        <v>1004</v>
      </c>
      <c r="C406" s="303"/>
      <c r="D406" s="303"/>
      <c r="E406" s="256" t="s">
        <v>88</v>
      </c>
      <c r="F406" s="22">
        <f>F407</f>
        <v>9909.7</v>
      </c>
      <c r="G406" s="22">
        <f aca="true" t="shared" si="146" ref="G406:G409">G407</f>
        <v>9605.6</v>
      </c>
    </row>
    <row r="407" spans="1:7" ht="47.25">
      <c r="A407" s="265" t="s">
        <v>21</v>
      </c>
      <c r="B407" s="265">
        <v>1004</v>
      </c>
      <c r="C407" s="265">
        <v>1200000000</v>
      </c>
      <c r="D407" s="265"/>
      <c r="E407" s="256" t="s">
        <v>197</v>
      </c>
      <c r="F407" s="22">
        <f>F408</f>
        <v>9909.7</v>
      </c>
      <c r="G407" s="22">
        <f t="shared" si="146"/>
        <v>9605.6</v>
      </c>
    </row>
    <row r="408" spans="1:7" ht="31.5">
      <c r="A408" s="265" t="s">
        <v>21</v>
      </c>
      <c r="B408" s="265">
        <v>1004</v>
      </c>
      <c r="C408" s="265">
        <v>1240000000</v>
      </c>
      <c r="D408" s="265"/>
      <c r="E408" s="256" t="s">
        <v>140</v>
      </c>
      <c r="F408" s="22">
        <f>F409</f>
        <v>9909.7</v>
      </c>
      <c r="G408" s="22">
        <f t="shared" si="146"/>
        <v>9605.6</v>
      </c>
    </row>
    <row r="409" spans="1:7" ht="12.75">
      <c r="A409" s="265" t="s">
        <v>21</v>
      </c>
      <c r="B409" s="265">
        <v>1004</v>
      </c>
      <c r="C409" s="265">
        <v>1240400000</v>
      </c>
      <c r="D409" s="265"/>
      <c r="E409" s="256" t="s">
        <v>216</v>
      </c>
      <c r="F409" s="22">
        <f>F410</f>
        <v>9909.7</v>
      </c>
      <c r="G409" s="22">
        <f t="shared" si="146"/>
        <v>9605.6</v>
      </c>
    </row>
    <row r="410" spans="1:7" ht="12.75">
      <c r="A410" s="265" t="s">
        <v>21</v>
      </c>
      <c r="B410" s="265">
        <v>1004</v>
      </c>
      <c r="C410" s="265" t="s">
        <v>256</v>
      </c>
      <c r="D410" s="265"/>
      <c r="E410" s="256" t="s">
        <v>255</v>
      </c>
      <c r="F410" s="22">
        <f aca="true" t="shared" si="147" ref="F410:G411">F411</f>
        <v>9909.7</v>
      </c>
      <c r="G410" s="22">
        <f t="shared" si="147"/>
        <v>9605.6</v>
      </c>
    </row>
    <row r="411" spans="1:7" ht="12.75">
      <c r="A411" s="265" t="s">
        <v>21</v>
      </c>
      <c r="B411" s="265">
        <v>1004</v>
      </c>
      <c r="C411" s="265" t="s">
        <v>256</v>
      </c>
      <c r="D411" s="2" t="s">
        <v>76</v>
      </c>
      <c r="E411" s="60" t="s">
        <v>77</v>
      </c>
      <c r="F411" s="22">
        <f t="shared" si="147"/>
        <v>9909.7</v>
      </c>
      <c r="G411" s="22">
        <f t="shared" si="147"/>
        <v>9605.6</v>
      </c>
    </row>
    <row r="412" spans="1:7" ht="31.5">
      <c r="A412" s="265" t="s">
        <v>21</v>
      </c>
      <c r="B412" s="265">
        <v>1004</v>
      </c>
      <c r="C412" s="265" t="s">
        <v>256</v>
      </c>
      <c r="D412" s="2" t="s">
        <v>103</v>
      </c>
      <c r="E412" s="60" t="s">
        <v>104</v>
      </c>
      <c r="F412" s="22">
        <f>1981.9+6489.8+1438</f>
        <v>9909.7</v>
      </c>
      <c r="G412" s="22">
        <v>9605.6</v>
      </c>
    </row>
    <row r="413" spans="1:7" ht="12.75">
      <c r="A413" s="265" t="s">
        <v>21</v>
      </c>
      <c r="B413" s="265" t="s">
        <v>64</v>
      </c>
      <c r="C413" s="265" t="s">
        <v>69</v>
      </c>
      <c r="D413" s="265" t="s">
        <v>69</v>
      </c>
      <c r="E413" s="256" t="s">
        <v>32</v>
      </c>
      <c r="F413" s="22">
        <f>F414+F450</f>
        <v>31480.6</v>
      </c>
      <c r="G413" s="22">
        <f>G414+G450</f>
        <v>31466.5</v>
      </c>
    </row>
    <row r="414" spans="1:7" ht="12.75">
      <c r="A414" s="265" t="s">
        <v>21</v>
      </c>
      <c r="B414" s="265" t="s">
        <v>89</v>
      </c>
      <c r="C414" s="265" t="s">
        <v>69</v>
      </c>
      <c r="D414" s="265" t="s">
        <v>69</v>
      </c>
      <c r="E414" s="256" t="s">
        <v>65</v>
      </c>
      <c r="F414" s="22">
        <f>F415</f>
        <v>15091.900000000001</v>
      </c>
      <c r="G414" s="22">
        <f aca="true" t="shared" si="148" ref="G414:G415">G415</f>
        <v>15077.8</v>
      </c>
    </row>
    <row r="415" spans="1:7" ht="47.25">
      <c r="A415" s="265" t="s">
        <v>21</v>
      </c>
      <c r="B415" s="265" t="s">
        <v>89</v>
      </c>
      <c r="C415" s="265">
        <v>1200000000</v>
      </c>
      <c r="D415" s="265"/>
      <c r="E415" s="256" t="s">
        <v>197</v>
      </c>
      <c r="F415" s="22">
        <f>F416</f>
        <v>15091.900000000001</v>
      </c>
      <c r="G415" s="22">
        <f t="shared" si="148"/>
        <v>15077.8</v>
      </c>
    </row>
    <row r="416" spans="1:7" ht="12.75">
      <c r="A416" s="265" t="s">
        <v>21</v>
      </c>
      <c r="B416" s="265" t="s">
        <v>89</v>
      </c>
      <c r="C416" s="265">
        <v>1230000000</v>
      </c>
      <c r="D416" s="265"/>
      <c r="E416" s="256" t="s">
        <v>220</v>
      </c>
      <c r="F416" s="22">
        <f>F417+F421+F425+F440</f>
        <v>15091.900000000001</v>
      </c>
      <c r="G416" s="22">
        <f>G417+G421+G425+G440</f>
        <v>15077.8</v>
      </c>
    </row>
    <row r="417" spans="1:7" ht="31.5">
      <c r="A417" s="265" t="s">
        <v>21</v>
      </c>
      <c r="B417" s="265" t="s">
        <v>89</v>
      </c>
      <c r="C417" s="265">
        <v>1230100000</v>
      </c>
      <c r="D417" s="265"/>
      <c r="E417" s="256" t="s">
        <v>221</v>
      </c>
      <c r="F417" s="22">
        <f>F418</f>
        <v>10855.000000000002</v>
      </c>
      <c r="G417" s="22">
        <f aca="true" t="shared" si="149" ref="G417">G418</f>
        <v>10855</v>
      </c>
    </row>
    <row r="418" spans="1:7" ht="31.5">
      <c r="A418" s="265" t="s">
        <v>21</v>
      </c>
      <c r="B418" s="2" t="s">
        <v>89</v>
      </c>
      <c r="C418" s="265">
        <v>1230120010</v>
      </c>
      <c r="D418" s="265"/>
      <c r="E418" s="256" t="s">
        <v>126</v>
      </c>
      <c r="F418" s="22">
        <f>F419</f>
        <v>10855.000000000002</v>
      </c>
      <c r="G418" s="22">
        <f aca="true" t="shared" si="150" ref="G418:G419">G419</f>
        <v>10855</v>
      </c>
    </row>
    <row r="419" spans="1:7" ht="31.5">
      <c r="A419" s="265" t="s">
        <v>21</v>
      </c>
      <c r="B419" s="2" t="s">
        <v>89</v>
      </c>
      <c r="C419" s="265">
        <v>1230120010</v>
      </c>
      <c r="D419" s="265" t="s">
        <v>97</v>
      </c>
      <c r="E419" s="256" t="s">
        <v>98</v>
      </c>
      <c r="F419" s="22">
        <f>F420</f>
        <v>10855.000000000002</v>
      </c>
      <c r="G419" s="22">
        <f t="shared" si="150"/>
        <v>10855</v>
      </c>
    </row>
    <row r="420" spans="1:7" ht="12.75">
      <c r="A420" s="265" t="s">
        <v>21</v>
      </c>
      <c r="B420" s="265" t="s">
        <v>89</v>
      </c>
      <c r="C420" s="265">
        <v>1230120010</v>
      </c>
      <c r="D420" s="265">
        <v>610</v>
      </c>
      <c r="E420" s="256" t="s">
        <v>106</v>
      </c>
      <c r="F420" s="22">
        <f>27035.2-15650.9-529.3</f>
        <v>10855.000000000002</v>
      </c>
      <c r="G420" s="22">
        <v>10855</v>
      </c>
    </row>
    <row r="421" spans="1:7" ht="45" customHeight="1">
      <c r="A421" s="265" t="s">
        <v>21</v>
      </c>
      <c r="B421" s="265" t="s">
        <v>89</v>
      </c>
      <c r="C421" s="265">
        <v>1230200000</v>
      </c>
      <c r="D421" s="265"/>
      <c r="E421" s="256" t="s">
        <v>222</v>
      </c>
      <c r="F421" s="22">
        <f>F422</f>
        <v>186.70000000000002</v>
      </c>
      <c r="G421" s="22">
        <f aca="true" t="shared" si="151" ref="G421:G423">G422</f>
        <v>186.7</v>
      </c>
    </row>
    <row r="422" spans="1:7" ht="12.75">
      <c r="A422" s="265" t="s">
        <v>21</v>
      </c>
      <c r="B422" s="265" t="s">
        <v>89</v>
      </c>
      <c r="C422" s="265">
        <v>1230220040</v>
      </c>
      <c r="D422" s="265"/>
      <c r="E422" s="256" t="s">
        <v>223</v>
      </c>
      <c r="F422" s="22">
        <f>F423</f>
        <v>186.70000000000002</v>
      </c>
      <c r="G422" s="22">
        <f t="shared" si="151"/>
        <v>186.7</v>
      </c>
    </row>
    <row r="423" spans="1:7" ht="31.5">
      <c r="A423" s="265" t="s">
        <v>21</v>
      </c>
      <c r="B423" s="265" t="s">
        <v>89</v>
      </c>
      <c r="C423" s="265">
        <v>1230220040</v>
      </c>
      <c r="D423" s="265" t="s">
        <v>97</v>
      </c>
      <c r="E423" s="256" t="s">
        <v>98</v>
      </c>
      <c r="F423" s="22">
        <f>F424</f>
        <v>186.70000000000002</v>
      </c>
      <c r="G423" s="22">
        <f t="shared" si="151"/>
        <v>186.7</v>
      </c>
    </row>
    <row r="424" spans="1:7" ht="12.75">
      <c r="A424" s="265" t="s">
        <v>21</v>
      </c>
      <c r="B424" s="265" t="s">
        <v>89</v>
      </c>
      <c r="C424" s="265">
        <v>1230220040</v>
      </c>
      <c r="D424" s="265">
        <v>610</v>
      </c>
      <c r="E424" s="256" t="s">
        <v>106</v>
      </c>
      <c r="F424" s="22">
        <f>259.3-72.6</f>
        <v>186.70000000000002</v>
      </c>
      <c r="G424" s="22">
        <v>186.7</v>
      </c>
    </row>
    <row r="425" spans="1:7" ht="31.5">
      <c r="A425" s="265" t="s">
        <v>21</v>
      </c>
      <c r="B425" s="265" t="s">
        <v>89</v>
      </c>
      <c r="C425" s="265">
        <v>1230600000</v>
      </c>
      <c r="D425" s="265"/>
      <c r="E425" s="256" t="s">
        <v>224</v>
      </c>
      <c r="F425" s="22">
        <f>F426+F433</f>
        <v>808.5</v>
      </c>
      <c r="G425" s="22">
        <f>G426+G433</f>
        <v>794.4</v>
      </c>
    </row>
    <row r="426" spans="1:7" ht="31.5">
      <c r="A426" s="265" t="s">
        <v>21</v>
      </c>
      <c r="B426" s="265" t="s">
        <v>89</v>
      </c>
      <c r="C426" s="265">
        <v>1230620300</v>
      </c>
      <c r="D426" s="265"/>
      <c r="E426" s="256" t="s">
        <v>225</v>
      </c>
      <c r="F426" s="22">
        <f>F428+F430+F432</f>
        <v>369.99999999999994</v>
      </c>
      <c r="G426" s="22">
        <f aca="true" t="shared" si="152" ref="G426">G428+G430+G432</f>
        <v>363.8</v>
      </c>
    </row>
    <row r="427" spans="1:7" ht="63">
      <c r="A427" s="265" t="s">
        <v>21</v>
      </c>
      <c r="B427" s="265" t="s">
        <v>89</v>
      </c>
      <c r="C427" s="265">
        <v>1230620300</v>
      </c>
      <c r="D427" s="265" t="s">
        <v>71</v>
      </c>
      <c r="E427" s="256" t="s">
        <v>1</v>
      </c>
      <c r="F427" s="22">
        <f>F428</f>
        <v>149.7</v>
      </c>
      <c r="G427" s="22">
        <f aca="true" t="shared" si="153" ref="G427">G428</f>
        <v>148</v>
      </c>
    </row>
    <row r="428" spans="1:7" ht="31.5">
      <c r="A428" s="265" t="s">
        <v>21</v>
      </c>
      <c r="B428" s="265" t="s">
        <v>89</v>
      </c>
      <c r="C428" s="265">
        <v>1230620300</v>
      </c>
      <c r="D428" s="265">
        <v>120</v>
      </c>
      <c r="E428" s="256" t="s">
        <v>258</v>
      </c>
      <c r="F428" s="22">
        <v>149.7</v>
      </c>
      <c r="G428" s="22">
        <v>148</v>
      </c>
    </row>
    <row r="429" spans="1:7" ht="31.5">
      <c r="A429" s="265" t="s">
        <v>21</v>
      </c>
      <c r="B429" s="265" t="s">
        <v>89</v>
      </c>
      <c r="C429" s="265">
        <v>1230620300</v>
      </c>
      <c r="D429" s="265" t="s">
        <v>72</v>
      </c>
      <c r="E429" s="256" t="s">
        <v>95</v>
      </c>
      <c r="F429" s="22">
        <f>F430</f>
        <v>126.1</v>
      </c>
      <c r="G429" s="22">
        <f aca="true" t="shared" si="154" ref="G429">G430</f>
        <v>126.1</v>
      </c>
    </row>
    <row r="430" spans="1:7" ht="31.5">
      <c r="A430" s="265" t="s">
        <v>21</v>
      </c>
      <c r="B430" s="265" t="s">
        <v>89</v>
      </c>
      <c r="C430" s="265">
        <v>1230620300</v>
      </c>
      <c r="D430" s="265">
        <v>240</v>
      </c>
      <c r="E430" s="256" t="s">
        <v>257</v>
      </c>
      <c r="F430" s="22">
        <f>102+6.1+18</f>
        <v>126.1</v>
      </c>
      <c r="G430" s="22">
        <v>126.1</v>
      </c>
    </row>
    <row r="431" spans="1:7" ht="12.75">
      <c r="A431" s="265" t="s">
        <v>21</v>
      </c>
      <c r="B431" s="265" t="s">
        <v>89</v>
      </c>
      <c r="C431" s="265">
        <v>1230620300</v>
      </c>
      <c r="D431" s="265" t="s">
        <v>73</v>
      </c>
      <c r="E431" s="256" t="s">
        <v>74</v>
      </c>
      <c r="F431" s="22">
        <f>F432</f>
        <v>94.2</v>
      </c>
      <c r="G431" s="22">
        <f aca="true" t="shared" si="155" ref="G431">G432</f>
        <v>89.7</v>
      </c>
    </row>
    <row r="432" spans="1:7" ht="12.75">
      <c r="A432" s="265" t="s">
        <v>21</v>
      </c>
      <c r="B432" s="265" t="s">
        <v>89</v>
      </c>
      <c r="C432" s="265">
        <v>1230620300</v>
      </c>
      <c r="D432" s="265">
        <v>850</v>
      </c>
      <c r="E432" s="256" t="s">
        <v>102</v>
      </c>
      <c r="F432" s="22">
        <v>94.2</v>
      </c>
      <c r="G432" s="22">
        <v>89.7</v>
      </c>
    </row>
    <row r="433" spans="1:7" ht="12.75">
      <c r="A433" s="265" t="s">
        <v>21</v>
      </c>
      <c r="B433" s="265" t="s">
        <v>89</v>
      </c>
      <c r="C433" s="265">
        <v>1230620320</v>
      </c>
      <c r="D433" s="265"/>
      <c r="E433" s="256" t="s">
        <v>151</v>
      </c>
      <c r="F433" s="22">
        <f>F434+F436+F438</f>
        <v>438.5</v>
      </c>
      <c r="G433" s="22">
        <f aca="true" t="shared" si="156" ref="G433">G434+G436+G438</f>
        <v>430.59999999999997</v>
      </c>
    </row>
    <row r="434" spans="1:7" ht="45" customHeight="1">
      <c r="A434" s="265" t="s">
        <v>21</v>
      </c>
      <c r="B434" s="265" t="s">
        <v>89</v>
      </c>
      <c r="C434" s="265">
        <v>1230620320</v>
      </c>
      <c r="D434" s="265" t="s">
        <v>71</v>
      </c>
      <c r="E434" s="256" t="s">
        <v>1</v>
      </c>
      <c r="F434" s="22">
        <f>F435</f>
        <v>260.5</v>
      </c>
      <c r="G434" s="22">
        <f aca="true" t="shared" si="157" ref="G434">G435</f>
        <v>252.7</v>
      </c>
    </row>
    <row r="435" spans="1:7" ht="31.5">
      <c r="A435" s="265" t="s">
        <v>21</v>
      </c>
      <c r="B435" s="265" t="s">
        <v>89</v>
      </c>
      <c r="C435" s="265">
        <v>1230620320</v>
      </c>
      <c r="D435" s="265">
        <v>120</v>
      </c>
      <c r="E435" s="256" t="s">
        <v>258</v>
      </c>
      <c r="F435" s="22">
        <f>278.5-18</f>
        <v>260.5</v>
      </c>
      <c r="G435" s="22">
        <v>252.7</v>
      </c>
    </row>
    <row r="436" spans="1:7" ht="31.5">
      <c r="A436" s="265" t="s">
        <v>21</v>
      </c>
      <c r="B436" s="265" t="s">
        <v>89</v>
      </c>
      <c r="C436" s="265">
        <v>1230620320</v>
      </c>
      <c r="D436" s="265" t="s">
        <v>72</v>
      </c>
      <c r="E436" s="256" t="s">
        <v>95</v>
      </c>
      <c r="F436" s="22">
        <f>F437</f>
        <v>117.1</v>
      </c>
      <c r="G436" s="22">
        <f aca="true" t="shared" si="158" ref="G436">G437</f>
        <v>117</v>
      </c>
    </row>
    <row r="437" spans="1:7" ht="31.5">
      <c r="A437" s="265" t="s">
        <v>21</v>
      </c>
      <c r="B437" s="265" t="s">
        <v>89</v>
      </c>
      <c r="C437" s="265">
        <v>1230620320</v>
      </c>
      <c r="D437" s="265">
        <v>240</v>
      </c>
      <c r="E437" s="256" t="s">
        <v>257</v>
      </c>
      <c r="F437" s="22">
        <f>213-95.9</f>
        <v>117.1</v>
      </c>
      <c r="G437" s="22">
        <v>117</v>
      </c>
    </row>
    <row r="438" spans="1:7" ht="31.5">
      <c r="A438" s="265" t="s">
        <v>21</v>
      </c>
      <c r="B438" s="265" t="s">
        <v>89</v>
      </c>
      <c r="C438" s="265">
        <v>1230620320</v>
      </c>
      <c r="D438" s="265" t="s">
        <v>97</v>
      </c>
      <c r="E438" s="256" t="s">
        <v>98</v>
      </c>
      <c r="F438" s="22">
        <f>F439</f>
        <v>60.900000000000006</v>
      </c>
      <c r="G438" s="22">
        <f aca="true" t="shared" si="159" ref="G438">G439</f>
        <v>60.9</v>
      </c>
    </row>
    <row r="439" spans="1:7" ht="12.75">
      <c r="A439" s="265" t="s">
        <v>21</v>
      </c>
      <c r="B439" s="265" t="s">
        <v>89</v>
      </c>
      <c r="C439" s="265">
        <v>1230620320</v>
      </c>
      <c r="D439" s="265">
        <v>610</v>
      </c>
      <c r="E439" s="256" t="s">
        <v>106</v>
      </c>
      <c r="F439" s="22">
        <f>66.9+66.5-72.5</f>
        <v>60.900000000000006</v>
      </c>
      <c r="G439" s="22">
        <v>60.9</v>
      </c>
    </row>
    <row r="440" spans="1:7" ht="31.5">
      <c r="A440" s="265" t="s">
        <v>21</v>
      </c>
      <c r="B440" s="265" t="s">
        <v>89</v>
      </c>
      <c r="C440" s="265" t="s">
        <v>347</v>
      </c>
      <c r="D440" s="265"/>
      <c r="E440" s="295" t="s">
        <v>344</v>
      </c>
      <c r="F440" s="22">
        <f>F447+F444+F441</f>
        <v>3241.7</v>
      </c>
      <c r="G440" s="22">
        <f aca="true" t="shared" si="160" ref="G440">G447+G444+G441</f>
        <v>3241.7</v>
      </c>
    </row>
    <row r="441" spans="1:7" ht="47.25">
      <c r="A441" s="265" t="s">
        <v>21</v>
      </c>
      <c r="B441" s="265" t="s">
        <v>89</v>
      </c>
      <c r="C441" s="265" t="s">
        <v>419</v>
      </c>
      <c r="D441" s="265"/>
      <c r="E441" s="73" t="s">
        <v>420</v>
      </c>
      <c r="F441" s="22">
        <f>F442</f>
        <v>1891.7</v>
      </c>
      <c r="G441" s="22">
        <f>G442</f>
        <v>1891.7</v>
      </c>
    </row>
    <row r="442" spans="1:7" ht="31.5">
      <c r="A442" s="265" t="s">
        <v>21</v>
      </c>
      <c r="B442" s="265" t="s">
        <v>89</v>
      </c>
      <c r="C442" s="265" t="s">
        <v>419</v>
      </c>
      <c r="D442" s="265" t="s">
        <v>72</v>
      </c>
      <c r="E442" s="73" t="s">
        <v>95</v>
      </c>
      <c r="F442" s="22">
        <f>F443</f>
        <v>1891.7</v>
      </c>
      <c r="G442" s="22">
        <f>G443</f>
        <v>1891.7</v>
      </c>
    </row>
    <row r="443" spans="1:7" ht="31.5">
      <c r="A443" s="265" t="s">
        <v>21</v>
      </c>
      <c r="B443" s="265" t="s">
        <v>89</v>
      </c>
      <c r="C443" s="265" t="s">
        <v>419</v>
      </c>
      <c r="D443" s="265">
        <v>240</v>
      </c>
      <c r="E443" s="73" t="s">
        <v>257</v>
      </c>
      <c r="F443" s="22">
        <v>1891.7</v>
      </c>
      <c r="G443" s="22">
        <v>1891.7</v>
      </c>
    </row>
    <row r="444" spans="1:7" ht="31.5">
      <c r="A444" s="265" t="s">
        <v>21</v>
      </c>
      <c r="B444" s="265" t="s">
        <v>89</v>
      </c>
      <c r="C444" s="265" t="s">
        <v>350</v>
      </c>
      <c r="D444" s="265"/>
      <c r="E444" s="295" t="s">
        <v>349</v>
      </c>
      <c r="F444" s="22">
        <f>F445</f>
        <v>719.4000000000001</v>
      </c>
      <c r="G444" s="22">
        <f aca="true" t="shared" si="161" ref="G444:G445">G445</f>
        <v>719.4</v>
      </c>
    </row>
    <row r="445" spans="1:7" ht="31.5">
      <c r="A445" s="265" t="s">
        <v>21</v>
      </c>
      <c r="B445" s="265" t="s">
        <v>89</v>
      </c>
      <c r="C445" s="265" t="s">
        <v>350</v>
      </c>
      <c r="D445" s="265" t="s">
        <v>72</v>
      </c>
      <c r="E445" s="73" t="s">
        <v>95</v>
      </c>
      <c r="F445" s="22">
        <f>F446</f>
        <v>719.4000000000001</v>
      </c>
      <c r="G445" s="22">
        <f t="shared" si="161"/>
        <v>719.4</v>
      </c>
    </row>
    <row r="446" spans="1:7" ht="31.5">
      <c r="A446" s="265" t="s">
        <v>21</v>
      </c>
      <c r="B446" s="265" t="s">
        <v>89</v>
      </c>
      <c r="C446" s="265" t="s">
        <v>350</v>
      </c>
      <c r="D446" s="265">
        <v>240</v>
      </c>
      <c r="E446" s="73" t="s">
        <v>257</v>
      </c>
      <c r="F446" s="22">
        <f>760.2-40.8</f>
        <v>719.4000000000001</v>
      </c>
      <c r="G446" s="22">
        <v>719.4</v>
      </c>
    </row>
    <row r="447" spans="1:7" ht="47.25">
      <c r="A447" s="265" t="s">
        <v>21</v>
      </c>
      <c r="B447" s="265" t="s">
        <v>89</v>
      </c>
      <c r="C447" s="265" t="s">
        <v>348</v>
      </c>
      <c r="D447" s="265"/>
      <c r="E447" s="73" t="s">
        <v>333</v>
      </c>
      <c r="F447" s="22">
        <f>F448</f>
        <v>630.6</v>
      </c>
      <c r="G447" s="22">
        <f aca="true" t="shared" si="162" ref="G447:G448">G448</f>
        <v>630.6</v>
      </c>
    </row>
    <row r="448" spans="1:7" ht="31.5">
      <c r="A448" s="265" t="s">
        <v>21</v>
      </c>
      <c r="B448" s="265" t="s">
        <v>89</v>
      </c>
      <c r="C448" s="265" t="s">
        <v>348</v>
      </c>
      <c r="D448" s="265" t="s">
        <v>72</v>
      </c>
      <c r="E448" s="73" t="s">
        <v>95</v>
      </c>
      <c r="F448" s="22">
        <f>F449</f>
        <v>630.6</v>
      </c>
      <c r="G448" s="22">
        <f t="shared" si="162"/>
        <v>630.6</v>
      </c>
    </row>
    <row r="449" spans="1:7" ht="31.5">
      <c r="A449" s="265" t="s">
        <v>21</v>
      </c>
      <c r="B449" s="265" t="s">
        <v>89</v>
      </c>
      <c r="C449" s="265" t="s">
        <v>348</v>
      </c>
      <c r="D449" s="265">
        <v>240</v>
      </c>
      <c r="E449" s="73" t="s">
        <v>257</v>
      </c>
      <c r="F449" s="22">
        <f>737.5-106.9</f>
        <v>630.6</v>
      </c>
      <c r="G449" s="22">
        <v>630.6</v>
      </c>
    </row>
    <row r="450" spans="1:7" ht="12.75">
      <c r="A450" s="265" t="s">
        <v>21</v>
      </c>
      <c r="B450" s="265">
        <v>1103</v>
      </c>
      <c r="C450" s="265" t="s">
        <v>69</v>
      </c>
      <c r="D450" s="265" t="s">
        <v>69</v>
      </c>
      <c r="E450" s="256" t="s">
        <v>341</v>
      </c>
      <c r="F450" s="22">
        <f>F451+F468</f>
        <v>16388.699999999997</v>
      </c>
      <c r="G450" s="22">
        <f>G451+G468</f>
        <v>16388.7</v>
      </c>
    </row>
    <row r="451" spans="1:7" ht="47.25">
      <c r="A451" s="265" t="s">
        <v>21</v>
      </c>
      <c r="B451" s="265">
        <v>1103</v>
      </c>
      <c r="C451" s="265">
        <v>1200000000</v>
      </c>
      <c r="D451" s="265"/>
      <c r="E451" s="256" t="s">
        <v>197</v>
      </c>
      <c r="F451" s="22">
        <f>F452</f>
        <v>15698.699999999999</v>
      </c>
      <c r="G451" s="22">
        <f aca="true" t="shared" si="163" ref="G451">G452</f>
        <v>15698.7</v>
      </c>
    </row>
    <row r="452" spans="1:7" ht="31.5">
      <c r="A452" s="265" t="s">
        <v>21</v>
      </c>
      <c r="B452" s="265">
        <v>1103</v>
      </c>
      <c r="C452" s="265">
        <v>1260000000</v>
      </c>
      <c r="D452" s="265"/>
      <c r="E452" s="256" t="s">
        <v>342</v>
      </c>
      <c r="F452" s="22">
        <f>F453+F457+F461</f>
        <v>15698.699999999999</v>
      </c>
      <c r="G452" s="22">
        <f>G453+G457+G461</f>
        <v>15698.7</v>
      </c>
    </row>
    <row r="453" spans="1:7" ht="31.5">
      <c r="A453" s="265" t="s">
        <v>21</v>
      </c>
      <c r="B453" s="265">
        <v>1103</v>
      </c>
      <c r="C453" s="265">
        <v>1260100000</v>
      </c>
      <c r="D453" s="265"/>
      <c r="E453" s="256" t="s">
        <v>343</v>
      </c>
      <c r="F453" s="22">
        <f>F454</f>
        <v>14916.099999999999</v>
      </c>
      <c r="G453" s="22">
        <f aca="true" t="shared" si="164" ref="G453:G455">G454</f>
        <v>14916.1</v>
      </c>
    </row>
    <row r="454" spans="1:7" ht="31.5">
      <c r="A454" s="265" t="s">
        <v>21</v>
      </c>
      <c r="B454" s="265">
        <v>1103</v>
      </c>
      <c r="C454" s="265">
        <v>1260120010</v>
      </c>
      <c r="D454" s="265"/>
      <c r="E454" s="256" t="s">
        <v>126</v>
      </c>
      <c r="F454" s="22">
        <f>F455</f>
        <v>14916.099999999999</v>
      </c>
      <c r="G454" s="22">
        <f t="shared" si="164"/>
        <v>14916.1</v>
      </c>
    </row>
    <row r="455" spans="1:7" ht="31.5">
      <c r="A455" s="265" t="s">
        <v>21</v>
      </c>
      <c r="B455" s="265">
        <v>1103</v>
      </c>
      <c r="C455" s="265">
        <v>1260120010</v>
      </c>
      <c r="D455" s="265" t="s">
        <v>97</v>
      </c>
      <c r="E455" s="256" t="s">
        <v>98</v>
      </c>
      <c r="F455" s="22">
        <f>F456</f>
        <v>14916.099999999999</v>
      </c>
      <c r="G455" s="22">
        <f t="shared" si="164"/>
        <v>14916.1</v>
      </c>
    </row>
    <row r="456" spans="1:7" ht="12.75">
      <c r="A456" s="265" t="s">
        <v>21</v>
      </c>
      <c r="B456" s="265">
        <v>1103</v>
      </c>
      <c r="C456" s="265">
        <v>1260120010</v>
      </c>
      <c r="D456" s="265">
        <v>610</v>
      </c>
      <c r="E456" s="256" t="s">
        <v>106</v>
      </c>
      <c r="F456" s="22">
        <f>15650.9-5.6-729.2</f>
        <v>14916.099999999999</v>
      </c>
      <c r="G456" s="22">
        <v>14916.1</v>
      </c>
    </row>
    <row r="457" spans="1:7" ht="31.5">
      <c r="A457" s="265" t="s">
        <v>21</v>
      </c>
      <c r="B457" s="265">
        <v>1103</v>
      </c>
      <c r="C457" s="265">
        <v>1260400000</v>
      </c>
      <c r="D457" s="265"/>
      <c r="E457" s="256" t="s">
        <v>384</v>
      </c>
      <c r="F457" s="22">
        <f>F458</f>
        <v>426.9999999999998</v>
      </c>
      <c r="G457" s="22">
        <f aca="true" t="shared" si="165" ref="G457:G458">G458</f>
        <v>427</v>
      </c>
    </row>
    <row r="458" spans="1:7" ht="31.5">
      <c r="A458" s="265" t="s">
        <v>21</v>
      </c>
      <c r="B458" s="265">
        <v>1103</v>
      </c>
      <c r="C458" s="265">
        <v>1260420110</v>
      </c>
      <c r="D458" s="265"/>
      <c r="E458" s="296" t="s">
        <v>385</v>
      </c>
      <c r="F458" s="22">
        <f>F459</f>
        <v>426.9999999999998</v>
      </c>
      <c r="G458" s="22">
        <f t="shared" si="165"/>
        <v>427</v>
      </c>
    </row>
    <row r="459" spans="1:7" ht="31.5">
      <c r="A459" s="265" t="s">
        <v>21</v>
      </c>
      <c r="B459" s="265">
        <v>1103</v>
      </c>
      <c r="C459" s="265">
        <v>1260420110</v>
      </c>
      <c r="D459" s="265">
        <v>400</v>
      </c>
      <c r="E459" s="73" t="s">
        <v>96</v>
      </c>
      <c r="F459" s="22">
        <f>F460</f>
        <v>426.9999999999998</v>
      </c>
      <c r="G459" s="22">
        <f>G460</f>
        <v>427</v>
      </c>
    </row>
    <row r="460" spans="1:7" ht="94.5">
      <c r="A460" s="265" t="s">
        <v>21</v>
      </c>
      <c r="B460" s="265">
        <v>1103</v>
      </c>
      <c r="C460" s="265">
        <v>1260420110</v>
      </c>
      <c r="D460" s="265">
        <v>460</v>
      </c>
      <c r="E460" s="296" t="s">
        <v>387</v>
      </c>
      <c r="F460" s="22">
        <f>2565.1-1719.3+1719.3-760.2-1377.9</f>
        <v>426.9999999999998</v>
      </c>
      <c r="G460" s="22">
        <v>427</v>
      </c>
    </row>
    <row r="461" spans="1:7" ht="31.5">
      <c r="A461" s="265" t="s">
        <v>21</v>
      </c>
      <c r="B461" s="265">
        <v>1103</v>
      </c>
      <c r="C461" s="265" t="s">
        <v>345</v>
      </c>
      <c r="D461" s="265"/>
      <c r="E461" s="295" t="s">
        <v>344</v>
      </c>
      <c r="F461" s="22">
        <f>F465+F462</f>
        <v>355.6</v>
      </c>
      <c r="G461" s="22">
        <f aca="true" t="shared" si="166" ref="G461">G465+G462</f>
        <v>355.6</v>
      </c>
    </row>
    <row r="462" spans="1:7" ht="78.75">
      <c r="A462" s="265" t="s">
        <v>21</v>
      </c>
      <c r="B462" s="265">
        <v>1103</v>
      </c>
      <c r="C462" s="11" t="s">
        <v>378</v>
      </c>
      <c r="D462" s="265"/>
      <c r="E462" s="8" t="s">
        <v>379</v>
      </c>
      <c r="F462" s="22">
        <f>F463</f>
        <v>320</v>
      </c>
      <c r="G462" s="22">
        <f aca="true" t="shared" si="167" ref="G462:G463">G463</f>
        <v>320</v>
      </c>
    </row>
    <row r="463" spans="1:7" ht="31.5">
      <c r="A463" s="265" t="s">
        <v>21</v>
      </c>
      <c r="B463" s="265">
        <v>1103</v>
      </c>
      <c r="C463" s="11" t="s">
        <v>378</v>
      </c>
      <c r="D463" s="265" t="s">
        <v>97</v>
      </c>
      <c r="E463" s="256" t="s">
        <v>98</v>
      </c>
      <c r="F463" s="22">
        <f>F464</f>
        <v>320</v>
      </c>
      <c r="G463" s="22">
        <f t="shared" si="167"/>
        <v>320</v>
      </c>
    </row>
    <row r="464" spans="1:7" ht="12.75">
      <c r="A464" s="265" t="s">
        <v>21</v>
      </c>
      <c r="B464" s="265">
        <v>1103</v>
      </c>
      <c r="C464" s="11" t="s">
        <v>378</v>
      </c>
      <c r="D464" s="265">
        <v>610</v>
      </c>
      <c r="E464" s="256" t="s">
        <v>106</v>
      </c>
      <c r="F464" s="22">
        <v>320</v>
      </c>
      <c r="G464" s="22">
        <v>320</v>
      </c>
    </row>
    <row r="465" spans="1:7" ht="63.6" customHeight="1">
      <c r="A465" s="265" t="s">
        <v>21</v>
      </c>
      <c r="B465" s="265">
        <v>1103</v>
      </c>
      <c r="C465" s="11" t="s">
        <v>346</v>
      </c>
      <c r="D465" s="265"/>
      <c r="E465" s="8" t="s">
        <v>352</v>
      </c>
      <c r="F465" s="22">
        <f>F466</f>
        <v>35.6</v>
      </c>
      <c r="G465" s="22">
        <f aca="true" t="shared" si="168" ref="G465:G466">G466</f>
        <v>35.6</v>
      </c>
    </row>
    <row r="466" spans="1:7" ht="31.5">
      <c r="A466" s="265" t="s">
        <v>21</v>
      </c>
      <c r="B466" s="265">
        <v>1103</v>
      </c>
      <c r="C466" s="11" t="s">
        <v>346</v>
      </c>
      <c r="D466" s="265" t="s">
        <v>97</v>
      </c>
      <c r="E466" s="256" t="s">
        <v>98</v>
      </c>
      <c r="F466" s="22">
        <f>F467</f>
        <v>35.6</v>
      </c>
      <c r="G466" s="22">
        <f t="shared" si="168"/>
        <v>35.6</v>
      </c>
    </row>
    <row r="467" spans="1:7" ht="12.75">
      <c r="A467" s="265" t="s">
        <v>21</v>
      </c>
      <c r="B467" s="265">
        <v>1103</v>
      </c>
      <c r="C467" s="11" t="s">
        <v>346</v>
      </c>
      <c r="D467" s="265">
        <v>610</v>
      </c>
      <c r="E467" s="256" t="s">
        <v>106</v>
      </c>
      <c r="F467" s="22">
        <f>30+5.6</f>
        <v>35.6</v>
      </c>
      <c r="G467" s="22">
        <v>35.6</v>
      </c>
    </row>
    <row r="468" spans="1:7" ht="12.75">
      <c r="A468" s="265" t="s">
        <v>21</v>
      </c>
      <c r="B468" s="265">
        <v>1103</v>
      </c>
      <c r="C468" s="265">
        <v>9900000000</v>
      </c>
      <c r="D468" s="265"/>
      <c r="E468" s="73" t="s">
        <v>107</v>
      </c>
      <c r="F468" s="22">
        <f>F469</f>
        <v>690</v>
      </c>
      <c r="G468" s="22">
        <f aca="true" t="shared" si="169" ref="G468:G471">G469</f>
        <v>690</v>
      </c>
    </row>
    <row r="469" spans="1:7" ht="47.25">
      <c r="A469" s="265" t="s">
        <v>21</v>
      </c>
      <c r="B469" s="265">
        <v>1103</v>
      </c>
      <c r="C469" s="265">
        <v>9920000000</v>
      </c>
      <c r="D469" s="265"/>
      <c r="E469" s="73" t="s">
        <v>381</v>
      </c>
      <c r="F469" s="22">
        <f>F470</f>
        <v>690</v>
      </c>
      <c r="G469" s="22">
        <f t="shared" si="169"/>
        <v>690</v>
      </c>
    </row>
    <row r="470" spans="1:7" ht="31.5">
      <c r="A470" s="265" t="s">
        <v>21</v>
      </c>
      <c r="B470" s="265">
        <v>1103</v>
      </c>
      <c r="C470" s="265">
        <v>9920010920</v>
      </c>
      <c r="D470" s="265"/>
      <c r="E470" s="73" t="s">
        <v>382</v>
      </c>
      <c r="F470" s="22">
        <f>F471</f>
        <v>690</v>
      </c>
      <c r="G470" s="22">
        <f t="shared" si="169"/>
        <v>690</v>
      </c>
    </row>
    <row r="471" spans="1:7" ht="31.5">
      <c r="A471" s="265" t="s">
        <v>21</v>
      </c>
      <c r="B471" s="265">
        <v>1103</v>
      </c>
      <c r="C471" s="265">
        <v>9920010920</v>
      </c>
      <c r="D471" s="265" t="s">
        <v>97</v>
      </c>
      <c r="E471" s="73" t="s">
        <v>98</v>
      </c>
      <c r="F471" s="22">
        <f>F472</f>
        <v>690</v>
      </c>
      <c r="G471" s="22">
        <f t="shared" si="169"/>
        <v>690</v>
      </c>
    </row>
    <row r="472" spans="1:7" ht="12.75">
      <c r="A472" s="265" t="s">
        <v>21</v>
      </c>
      <c r="B472" s="265">
        <v>1103</v>
      </c>
      <c r="C472" s="265">
        <v>9920010920</v>
      </c>
      <c r="D472" s="265">
        <v>610</v>
      </c>
      <c r="E472" s="73" t="s">
        <v>106</v>
      </c>
      <c r="F472" s="22">
        <v>690</v>
      </c>
      <c r="G472" s="22">
        <v>690</v>
      </c>
    </row>
    <row r="473" spans="1:7" ht="12.75">
      <c r="A473" s="265" t="s">
        <v>21</v>
      </c>
      <c r="B473" s="265" t="s">
        <v>93</v>
      </c>
      <c r="C473" s="265" t="s">
        <v>69</v>
      </c>
      <c r="D473" s="265" t="s">
        <v>69</v>
      </c>
      <c r="E473" s="50" t="s">
        <v>66</v>
      </c>
      <c r="F473" s="22">
        <f>F474</f>
        <v>1939.4</v>
      </c>
      <c r="G473" s="22">
        <f aca="true" t="shared" si="170" ref="G473:G476">G474</f>
        <v>1939.4</v>
      </c>
    </row>
    <row r="474" spans="1:7" ht="12.75">
      <c r="A474" s="265" t="s">
        <v>21</v>
      </c>
      <c r="B474" s="265" t="s">
        <v>67</v>
      </c>
      <c r="C474" s="265" t="s">
        <v>69</v>
      </c>
      <c r="D474" s="265" t="s">
        <v>69</v>
      </c>
      <c r="E474" s="256" t="s">
        <v>68</v>
      </c>
      <c r="F474" s="22">
        <f>F475</f>
        <v>1939.4</v>
      </c>
      <c r="G474" s="22">
        <f t="shared" si="170"/>
        <v>1939.4</v>
      </c>
    </row>
    <row r="475" spans="1:7" ht="47.25">
      <c r="A475" s="265" t="s">
        <v>21</v>
      </c>
      <c r="B475" s="265" t="s">
        <v>67</v>
      </c>
      <c r="C475" s="265">
        <v>1200000000</v>
      </c>
      <c r="D475" s="265"/>
      <c r="E475" s="256" t="s">
        <v>197</v>
      </c>
      <c r="F475" s="22">
        <f>F476</f>
        <v>1939.4</v>
      </c>
      <c r="G475" s="22">
        <f t="shared" si="170"/>
        <v>1939.4</v>
      </c>
    </row>
    <row r="476" spans="1:7" ht="31.5">
      <c r="A476" s="265" t="s">
        <v>21</v>
      </c>
      <c r="B476" s="265" t="s">
        <v>67</v>
      </c>
      <c r="C476" s="265">
        <v>1240000000</v>
      </c>
      <c r="D476" s="265"/>
      <c r="E476" s="256" t="s">
        <v>140</v>
      </c>
      <c r="F476" s="22">
        <f>F477</f>
        <v>1939.4</v>
      </c>
      <c r="G476" s="22">
        <f t="shared" si="170"/>
        <v>1939.4</v>
      </c>
    </row>
    <row r="477" spans="1:7" ht="12.75">
      <c r="A477" s="265" t="s">
        <v>21</v>
      </c>
      <c r="B477" s="265" t="s">
        <v>67</v>
      </c>
      <c r="C477" s="265">
        <v>1240300000</v>
      </c>
      <c r="D477" s="265"/>
      <c r="E477" s="256" t="s">
        <v>219</v>
      </c>
      <c r="F477" s="22">
        <f>F484+F481+F478</f>
        <v>1939.4</v>
      </c>
      <c r="G477" s="22">
        <f aca="true" t="shared" si="171" ref="G477">G484+G481+G478</f>
        <v>1939.4</v>
      </c>
    </row>
    <row r="478" spans="1:7" ht="47.25">
      <c r="A478" s="265" t="s">
        <v>21</v>
      </c>
      <c r="B478" s="265" t="s">
        <v>67</v>
      </c>
      <c r="C478" s="265">
        <v>1240310320</v>
      </c>
      <c r="D478" s="265"/>
      <c r="E478" s="73" t="s">
        <v>307</v>
      </c>
      <c r="F478" s="22">
        <f>F479</f>
        <v>476.90000000000003</v>
      </c>
      <c r="G478" s="22">
        <f aca="true" t="shared" si="172" ref="G478:G479">G479</f>
        <v>476.9</v>
      </c>
    </row>
    <row r="479" spans="1:7" ht="31.5">
      <c r="A479" s="265" t="s">
        <v>21</v>
      </c>
      <c r="B479" s="265" t="s">
        <v>67</v>
      </c>
      <c r="C479" s="265">
        <v>1240310320</v>
      </c>
      <c r="D479" s="265" t="s">
        <v>97</v>
      </c>
      <c r="E479" s="256" t="s">
        <v>98</v>
      </c>
      <c r="F479" s="22">
        <f>F480</f>
        <v>476.90000000000003</v>
      </c>
      <c r="G479" s="22">
        <f t="shared" si="172"/>
        <v>476.9</v>
      </c>
    </row>
    <row r="480" spans="1:7" ht="31.5">
      <c r="A480" s="265" t="s">
        <v>21</v>
      </c>
      <c r="B480" s="265" t="s">
        <v>67</v>
      </c>
      <c r="C480" s="265">
        <v>1240310320</v>
      </c>
      <c r="D480" s="265">
        <v>630</v>
      </c>
      <c r="E480" s="256" t="s">
        <v>156</v>
      </c>
      <c r="F480" s="22">
        <f>459.3+17.6</f>
        <v>476.90000000000003</v>
      </c>
      <c r="G480" s="22">
        <v>476.9</v>
      </c>
    </row>
    <row r="481" spans="1:7" ht="47.25">
      <c r="A481" s="265" t="s">
        <v>21</v>
      </c>
      <c r="B481" s="265" t="s">
        <v>67</v>
      </c>
      <c r="C481" s="265">
        <v>1240320400</v>
      </c>
      <c r="D481" s="265"/>
      <c r="E481" s="256" t="s">
        <v>308</v>
      </c>
      <c r="F481" s="22">
        <f>F482</f>
        <v>609</v>
      </c>
      <c r="G481" s="22">
        <f aca="true" t="shared" si="173" ref="G481:G482">G482</f>
        <v>609</v>
      </c>
    </row>
    <row r="482" spans="1:7" ht="31.5">
      <c r="A482" s="265" t="s">
        <v>21</v>
      </c>
      <c r="B482" s="265" t="s">
        <v>67</v>
      </c>
      <c r="C482" s="265">
        <v>1240320400</v>
      </c>
      <c r="D482" s="265" t="s">
        <v>72</v>
      </c>
      <c r="E482" s="256" t="s">
        <v>95</v>
      </c>
      <c r="F482" s="22">
        <f>F483</f>
        <v>609</v>
      </c>
      <c r="G482" s="22">
        <f t="shared" si="173"/>
        <v>609</v>
      </c>
    </row>
    <row r="483" spans="1:7" ht="31.5">
      <c r="A483" s="265" t="s">
        <v>21</v>
      </c>
      <c r="B483" s="265" t="s">
        <v>67</v>
      </c>
      <c r="C483" s="265">
        <v>1240320400</v>
      </c>
      <c r="D483" s="265">
        <v>240</v>
      </c>
      <c r="E483" s="256" t="s">
        <v>257</v>
      </c>
      <c r="F483" s="22">
        <f>1021.4-293.2-119.2</f>
        <v>609</v>
      </c>
      <c r="G483" s="22">
        <v>609</v>
      </c>
    </row>
    <row r="484" spans="1:7" ht="47.25">
      <c r="A484" s="265" t="s">
        <v>21</v>
      </c>
      <c r="B484" s="265" t="s">
        <v>67</v>
      </c>
      <c r="C484" s="265" t="s">
        <v>159</v>
      </c>
      <c r="D484" s="265"/>
      <c r="E484" s="256" t="s">
        <v>158</v>
      </c>
      <c r="F484" s="22">
        <f>F485</f>
        <v>853.5</v>
      </c>
      <c r="G484" s="22">
        <f aca="true" t="shared" si="174" ref="G484:G485">G485</f>
        <v>853.5</v>
      </c>
    </row>
    <row r="485" spans="1:7" ht="31.5">
      <c r="A485" s="265" t="s">
        <v>21</v>
      </c>
      <c r="B485" s="265" t="s">
        <v>67</v>
      </c>
      <c r="C485" s="265" t="s">
        <v>159</v>
      </c>
      <c r="D485" s="265" t="s">
        <v>97</v>
      </c>
      <c r="E485" s="256" t="s">
        <v>98</v>
      </c>
      <c r="F485" s="22">
        <f>F486</f>
        <v>853.5</v>
      </c>
      <c r="G485" s="22">
        <f t="shared" si="174"/>
        <v>853.5</v>
      </c>
    </row>
    <row r="486" spans="1:7" ht="31.5">
      <c r="A486" s="265" t="s">
        <v>21</v>
      </c>
      <c r="B486" s="265" t="s">
        <v>67</v>
      </c>
      <c r="C486" s="265" t="s">
        <v>159</v>
      </c>
      <c r="D486" s="265">
        <v>630</v>
      </c>
      <c r="E486" s="256" t="s">
        <v>156</v>
      </c>
      <c r="F486" s="22">
        <f>636.5+217</f>
        <v>853.5</v>
      </c>
      <c r="G486" s="22">
        <v>853.5</v>
      </c>
    </row>
    <row r="487" spans="1:7" ht="12.75">
      <c r="A487" s="29" t="s">
        <v>37</v>
      </c>
      <c r="B487" s="73" t="s">
        <v>69</v>
      </c>
      <c r="C487" s="73" t="s">
        <v>69</v>
      </c>
      <c r="D487" s="73" t="s">
        <v>69</v>
      </c>
      <c r="E487" s="41" t="s">
        <v>432</v>
      </c>
      <c r="F487" s="27">
        <f>F488+F504</f>
        <v>7666.299999999999</v>
      </c>
      <c r="G487" s="27">
        <f>G488+G504</f>
        <v>7302.900000000001</v>
      </c>
    </row>
    <row r="488" spans="1:7" ht="12.75">
      <c r="A488" s="265" t="s">
        <v>37</v>
      </c>
      <c r="B488" s="265" t="s">
        <v>57</v>
      </c>
      <c r="C488" s="265" t="s">
        <v>69</v>
      </c>
      <c r="D488" s="265" t="s">
        <v>69</v>
      </c>
      <c r="E488" s="59" t="s">
        <v>22</v>
      </c>
      <c r="F488" s="22">
        <f>F489+F498</f>
        <v>7642.299999999999</v>
      </c>
      <c r="G488" s="22">
        <f aca="true" t="shared" si="175" ref="G488">G489+G498</f>
        <v>7279.3</v>
      </c>
    </row>
    <row r="489" spans="1:7" ht="31.5">
      <c r="A489" s="265" t="s">
        <v>37</v>
      </c>
      <c r="B489" s="265" t="s">
        <v>48</v>
      </c>
      <c r="C489" s="265" t="s">
        <v>69</v>
      </c>
      <c r="D489" s="265" t="s">
        <v>69</v>
      </c>
      <c r="E489" s="256" t="s">
        <v>8</v>
      </c>
      <c r="F489" s="22">
        <f>F490</f>
        <v>7279.299999999999</v>
      </c>
      <c r="G489" s="22">
        <f aca="true" t="shared" si="176" ref="G489:G492">G490</f>
        <v>7279.3</v>
      </c>
    </row>
    <row r="490" spans="1:7" ht="12.75">
      <c r="A490" s="265" t="s">
        <v>37</v>
      </c>
      <c r="B490" s="265" t="s">
        <v>48</v>
      </c>
      <c r="C490" s="265">
        <v>9900000000</v>
      </c>
      <c r="D490" s="265"/>
      <c r="E490" s="256" t="s">
        <v>107</v>
      </c>
      <c r="F490" s="22">
        <f>F491</f>
        <v>7279.299999999999</v>
      </c>
      <c r="G490" s="22">
        <f t="shared" si="176"/>
        <v>7279.3</v>
      </c>
    </row>
    <row r="491" spans="1:7" ht="31.5">
      <c r="A491" s="265" t="s">
        <v>37</v>
      </c>
      <c r="B491" s="265" t="s">
        <v>48</v>
      </c>
      <c r="C491" s="265">
        <v>9990000000</v>
      </c>
      <c r="D491" s="265"/>
      <c r="E491" s="256" t="s">
        <v>160</v>
      </c>
      <c r="F491" s="22">
        <f>F492</f>
        <v>7279.299999999999</v>
      </c>
      <c r="G491" s="22">
        <f t="shared" si="176"/>
        <v>7279.3</v>
      </c>
    </row>
    <row r="492" spans="1:7" ht="31.5">
      <c r="A492" s="265" t="s">
        <v>37</v>
      </c>
      <c r="B492" s="265" t="s">
        <v>48</v>
      </c>
      <c r="C492" s="265">
        <v>9990200000</v>
      </c>
      <c r="D492" s="73"/>
      <c r="E492" s="256" t="s">
        <v>120</v>
      </c>
      <c r="F492" s="22">
        <f aca="true" t="shared" si="177" ref="F492">F493</f>
        <v>7279.299999999999</v>
      </c>
      <c r="G492" s="22">
        <f t="shared" si="176"/>
        <v>7279.3</v>
      </c>
    </row>
    <row r="493" spans="1:7" ht="47.25">
      <c r="A493" s="265" t="s">
        <v>37</v>
      </c>
      <c r="B493" s="265" t="s">
        <v>48</v>
      </c>
      <c r="C493" s="265">
        <v>9990225000</v>
      </c>
      <c r="D493" s="265"/>
      <c r="E493" s="256" t="s">
        <v>121</v>
      </c>
      <c r="F493" s="22">
        <f>F494+F496</f>
        <v>7279.299999999999</v>
      </c>
      <c r="G493" s="22">
        <f aca="true" t="shared" si="178" ref="G493">G494+G496</f>
        <v>7279.3</v>
      </c>
    </row>
    <row r="494" spans="1:7" ht="63">
      <c r="A494" s="265" t="s">
        <v>37</v>
      </c>
      <c r="B494" s="265" t="s">
        <v>48</v>
      </c>
      <c r="C494" s="265">
        <v>9990225000</v>
      </c>
      <c r="D494" s="265" t="s">
        <v>71</v>
      </c>
      <c r="E494" s="256" t="s">
        <v>1</v>
      </c>
      <c r="F494" s="22">
        <f>F495</f>
        <v>7218.299999999999</v>
      </c>
      <c r="G494" s="22">
        <f aca="true" t="shared" si="179" ref="G494">G495</f>
        <v>7218.3</v>
      </c>
    </row>
    <row r="495" spans="1:7" ht="31.5">
      <c r="A495" s="265" t="s">
        <v>37</v>
      </c>
      <c r="B495" s="265" t="s">
        <v>48</v>
      </c>
      <c r="C495" s="265">
        <v>9990225000</v>
      </c>
      <c r="D495" s="265">
        <v>120</v>
      </c>
      <c r="E495" s="256" t="s">
        <v>258</v>
      </c>
      <c r="F495" s="22">
        <f>6741.4+476.9</f>
        <v>7218.299999999999</v>
      </c>
      <c r="G495" s="22">
        <v>7218.3</v>
      </c>
    </row>
    <row r="496" spans="1:7" ht="12.75">
      <c r="A496" s="265" t="s">
        <v>37</v>
      </c>
      <c r="B496" s="265" t="s">
        <v>48</v>
      </c>
      <c r="C496" s="265">
        <v>9990225000</v>
      </c>
      <c r="D496" s="265" t="s">
        <v>73</v>
      </c>
      <c r="E496" s="256" t="s">
        <v>74</v>
      </c>
      <c r="F496" s="22">
        <f>F497</f>
        <v>61.00000000000001</v>
      </c>
      <c r="G496" s="22">
        <f aca="true" t="shared" si="180" ref="G496">G497</f>
        <v>61</v>
      </c>
    </row>
    <row r="497" spans="1:7" ht="12.75">
      <c r="A497" s="265" t="s">
        <v>37</v>
      </c>
      <c r="B497" s="265" t="s">
        <v>48</v>
      </c>
      <c r="C497" s="265">
        <v>9990225000</v>
      </c>
      <c r="D497" s="265">
        <v>850</v>
      </c>
      <c r="E497" s="256" t="s">
        <v>102</v>
      </c>
      <c r="F497" s="22">
        <f>75.4-14.4</f>
        <v>61.00000000000001</v>
      </c>
      <c r="G497" s="22">
        <v>61</v>
      </c>
    </row>
    <row r="498" spans="1:7" ht="12.75">
      <c r="A498" s="265" t="s">
        <v>37</v>
      </c>
      <c r="B498" s="265" t="s">
        <v>49</v>
      </c>
      <c r="C498" s="265"/>
      <c r="D498" s="265"/>
      <c r="E498" s="256" t="s">
        <v>9</v>
      </c>
      <c r="F498" s="22">
        <f>F499</f>
        <v>363</v>
      </c>
      <c r="G498" s="22">
        <f aca="true" t="shared" si="181" ref="G498:G502">G499</f>
        <v>0</v>
      </c>
    </row>
    <row r="499" spans="1:7" ht="12.75">
      <c r="A499" s="265" t="s">
        <v>37</v>
      </c>
      <c r="B499" s="265" t="s">
        <v>49</v>
      </c>
      <c r="C499" s="265">
        <v>9900000000</v>
      </c>
      <c r="D499" s="265"/>
      <c r="E499" s="256" t="s">
        <v>107</v>
      </c>
      <c r="F499" s="22">
        <f>F500</f>
        <v>363</v>
      </c>
      <c r="G499" s="22">
        <f t="shared" si="181"/>
        <v>0</v>
      </c>
    </row>
    <row r="500" spans="1:7" ht="12.75">
      <c r="A500" s="265" t="s">
        <v>37</v>
      </c>
      <c r="B500" s="265" t="s">
        <v>49</v>
      </c>
      <c r="C500" s="265">
        <v>9910000000</v>
      </c>
      <c r="D500" s="265"/>
      <c r="E500" s="256" t="s">
        <v>9</v>
      </c>
      <c r="F500" s="22">
        <f>F501</f>
        <v>363</v>
      </c>
      <c r="G500" s="22">
        <f t="shared" si="181"/>
        <v>0</v>
      </c>
    </row>
    <row r="501" spans="1:7" ht="31.5">
      <c r="A501" s="265" t="s">
        <v>37</v>
      </c>
      <c r="B501" s="265" t="s">
        <v>49</v>
      </c>
      <c r="C501" s="265">
        <v>9910020000</v>
      </c>
      <c r="D501" s="265"/>
      <c r="E501" s="256" t="s">
        <v>178</v>
      </c>
      <c r="F501" s="22">
        <f>F502</f>
        <v>363</v>
      </c>
      <c r="G501" s="22">
        <f t="shared" si="181"/>
        <v>0</v>
      </c>
    </row>
    <row r="502" spans="1:7" ht="12.75">
      <c r="A502" s="265" t="s">
        <v>37</v>
      </c>
      <c r="B502" s="265" t="s">
        <v>49</v>
      </c>
      <c r="C502" s="265">
        <v>9910020000</v>
      </c>
      <c r="D502" s="265" t="s">
        <v>73</v>
      </c>
      <c r="E502" s="256" t="s">
        <v>74</v>
      </c>
      <c r="F502" s="22">
        <f>F503</f>
        <v>363</v>
      </c>
      <c r="G502" s="22">
        <f t="shared" si="181"/>
        <v>0</v>
      </c>
    </row>
    <row r="503" spans="1:7" ht="12.75">
      <c r="A503" s="265" t="s">
        <v>37</v>
      </c>
      <c r="B503" s="265" t="s">
        <v>49</v>
      </c>
      <c r="C503" s="265">
        <v>9910020000</v>
      </c>
      <c r="D503" s="2" t="s">
        <v>179</v>
      </c>
      <c r="E503" s="60" t="s">
        <v>180</v>
      </c>
      <c r="F503" s="22">
        <f>1000-500-137</f>
        <v>363</v>
      </c>
      <c r="G503" s="22">
        <v>0</v>
      </c>
    </row>
    <row r="504" spans="1:7" ht="12.75">
      <c r="A504" s="265" t="s">
        <v>37</v>
      </c>
      <c r="B504" s="265" t="s">
        <v>263</v>
      </c>
      <c r="C504" s="265" t="s">
        <v>69</v>
      </c>
      <c r="D504" s="265" t="s">
        <v>69</v>
      </c>
      <c r="E504" s="73" t="s">
        <v>264</v>
      </c>
      <c r="F504" s="22">
        <f aca="true" t="shared" si="182" ref="F504:F509">F505</f>
        <v>24</v>
      </c>
      <c r="G504" s="22">
        <f aca="true" t="shared" si="183" ref="G504">G505</f>
        <v>23.6</v>
      </c>
    </row>
    <row r="505" spans="1:7" ht="31.5">
      <c r="A505" s="265" t="s">
        <v>37</v>
      </c>
      <c r="B505" s="265" t="s">
        <v>265</v>
      </c>
      <c r="C505" s="265" t="s">
        <v>69</v>
      </c>
      <c r="D505" s="265" t="s">
        <v>69</v>
      </c>
      <c r="E505" s="73" t="s">
        <v>266</v>
      </c>
      <c r="F505" s="22">
        <f t="shared" si="182"/>
        <v>24</v>
      </c>
      <c r="G505" s="22">
        <f aca="true" t="shared" si="184" ref="G505:G509">G506</f>
        <v>23.6</v>
      </c>
    </row>
    <row r="506" spans="1:7" ht="12.75">
      <c r="A506" s="265" t="s">
        <v>37</v>
      </c>
      <c r="B506" s="265" t="s">
        <v>265</v>
      </c>
      <c r="C506" s="265">
        <v>9900000000</v>
      </c>
      <c r="D506" s="265"/>
      <c r="E506" s="73" t="s">
        <v>107</v>
      </c>
      <c r="F506" s="22">
        <f t="shared" si="182"/>
        <v>24</v>
      </c>
      <c r="G506" s="22">
        <f t="shared" si="184"/>
        <v>23.6</v>
      </c>
    </row>
    <row r="507" spans="1:7" ht="31.5">
      <c r="A507" s="265" t="s">
        <v>37</v>
      </c>
      <c r="B507" s="265" t="s">
        <v>265</v>
      </c>
      <c r="C507" s="265">
        <v>9930000000</v>
      </c>
      <c r="D507" s="265"/>
      <c r="E507" s="73" t="s">
        <v>173</v>
      </c>
      <c r="F507" s="22">
        <f t="shared" si="182"/>
        <v>24</v>
      </c>
      <c r="G507" s="22">
        <f t="shared" si="184"/>
        <v>23.6</v>
      </c>
    </row>
    <row r="508" spans="1:7" ht="12.75">
      <c r="A508" s="265" t="s">
        <v>37</v>
      </c>
      <c r="B508" s="265" t="s">
        <v>265</v>
      </c>
      <c r="C508" s="265">
        <v>9930020500</v>
      </c>
      <c r="D508" s="265"/>
      <c r="E508" s="73" t="s">
        <v>267</v>
      </c>
      <c r="F508" s="22">
        <f t="shared" si="182"/>
        <v>24</v>
      </c>
      <c r="G508" s="22">
        <f t="shared" si="184"/>
        <v>23.6</v>
      </c>
    </row>
    <row r="509" spans="1:7" ht="12.75">
      <c r="A509" s="265" t="s">
        <v>37</v>
      </c>
      <c r="B509" s="265" t="s">
        <v>265</v>
      </c>
      <c r="C509" s="265">
        <v>9930020500</v>
      </c>
      <c r="D509" s="265" t="s">
        <v>268</v>
      </c>
      <c r="E509" s="73" t="s">
        <v>269</v>
      </c>
      <c r="F509" s="22">
        <f t="shared" si="182"/>
        <v>24</v>
      </c>
      <c r="G509" s="22">
        <f t="shared" si="184"/>
        <v>23.6</v>
      </c>
    </row>
    <row r="510" spans="1:7" ht="12.75">
      <c r="A510" s="265" t="s">
        <v>37</v>
      </c>
      <c r="B510" s="265" t="s">
        <v>265</v>
      </c>
      <c r="C510" s="265">
        <v>9930020500</v>
      </c>
      <c r="D510" s="2" t="s">
        <v>270</v>
      </c>
      <c r="E510" s="81" t="s">
        <v>267</v>
      </c>
      <c r="F510" s="22">
        <f>60-36</f>
        <v>24</v>
      </c>
      <c r="G510" s="22">
        <v>23.6</v>
      </c>
    </row>
    <row r="511" spans="1:7" ht="31.5">
      <c r="A511" s="29" t="s">
        <v>35</v>
      </c>
      <c r="B511" s="73" t="s">
        <v>69</v>
      </c>
      <c r="C511" s="73" t="s">
        <v>69</v>
      </c>
      <c r="D511" s="73" t="s">
        <v>69</v>
      </c>
      <c r="E511" s="41" t="s">
        <v>436</v>
      </c>
      <c r="F511" s="27">
        <f>F512+F533+F541+F549</f>
        <v>20028.4</v>
      </c>
      <c r="G511" s="27">
        <f>G512+G533+G541+G549</f>
        <v>19868.199999999997</v>
      </c>
    </row>
    <row r="512" spans="1:7" ht="12.75">
      <c r="A512" s="265" t="s">
        <v>35</v>
      </c>
      <c r="B512" s="265" t="s">
        <v>57</v>
      </c>
      <c r="C512" s="265" t="s">
        <v>69</v>
      </c>
      <c r="D512" s="265" t="s">
        <v>69</v>
      </c>
      <c r="E512" s="59" t="s">
        <v>22</v>
      </c>
      <c r="F512" s="22">
        <f>F513</f>
        <v>8320.4</v>
      </c>
      <c r="G512" s="22">
        <f aca="true" t="shared" si="185" ref="G512">G513</f>
        <v>8183</v>
      </c>
    </row>
    <row r="513" spans="1:7" ht="12.75">
      <c r="A513" s="265" t="s">
        <v>35</v>
      </c>
      <c r="B513" s="265" t="s">
        <v>63</v>
      </c>
      <c r="C513" s="265" t="s">
        <v>69</v>
      </c>
      <c r="D513" s="265" t="s">
        <v>69</v>
      </c>
      <c r="E513" s="256" t="s">
        <v>25</v>
      </c>
      <c r="F513" s="22">
        <f>F514+F523</f>
        <v>8320.4</v>
      </c>
      <c r="G513" s="22">
        <f>G514+G523</f>
        <v>8183</v>
      </c>
    </row>
    <row r="514" spans="1:7" ht="47.25">
      <c r="A514" s="265" t="s">
        <v>35</v>
      </c>
      <c r="B514" s="265" t="s">
        <v>63</v>
      </c>
      <c r="C514" s="265">
        <v>1600000000</v>
      </c>
      <c r="D514" s="265"/>
      <c r="E514" s="256" t="s">
        <v>116</v>
      </c>
      <c r="F514" s="22">
        <f>F515</f>
        <v>3028.1</v>
      </c>
      <c r="G514" s="22">
        <f aca="true" t="shared" si="186" ref="G514">G515</f>
        <v>2915.7000000000003</v>
      </c>
    </row>
    <row r="515" spans="1:7" ht="31.5">
      <c r="A515" s="265" t="s">
        <v>35</v>
      </c>
      <c r="B515" s="265" t="s">
        <v>63</v>
      </c>
      <c r="C515" s="265">
        <v>1620000000</v>
      </c>
      <c r="D515" s="265"/>
      <c r="E515" s="256" t="s">
        <v>109</v>
      </c>
      <c r="F515" s="22">
        <f>F516</f>
        <v>3028.1</v>
      </c>
      <c r="G515" s="22">
        <f aca="true" t="shared" si="187" ref="G515">G516</f>
        <v>2915.7000000000003</v>
      </c>
    </row>
    <row r="516" spans="1:7" ht="12.75">
      <c r="A516" s="265" t="s">
        <v>35</v>
      </c>
      <c r="B516" s="265" t="s">
        <v>63</v>
      </c>
      <c r="C516" s="265">
        <v>1620100000</v>
      </c>
      <c r="D516" s="265"/>
      <c r="E516" s="256" t="s">
        <v>110</v>
      </c>
      <c r="F516" s="22">
        <f>F517+F520</f>
        <v>3028.1</v>
      </c>
      <c r="G516" s="22">
        <f aca="true" t="shared" si="188" ref="G516">G517+G520</f>
        <v>2915.7000000000003</v>
      </c>
    </row>
    <row r="517" spans="1:7" ht="12.75">
      <c r="A517" s="265" t="s">
        <v>35</v>
      </c>
      <c r="B517" s="265" t="s">
        <v>63</v>
      </c>
      <c r="C517" s="265">
        <v>1620120210</v>
      </c>
      <c r="D517" s="265"/>
      <c r="E517" s="256" t="s">
        <v>111</v>
      </c>
      <c r="F517" s="22">
        <f>F518</f>
        <v>2902.1</v>
      </c>
      <c r="G517" s="22">
        <f aca="true" t="shared" si="189" ref="G517:G518">G518</f>
        <v>2789.9</v>
      </c>
    </row>
    <row r="518" spans="1:7" ht="31.5">
      <c r="A518" s="265" t="s">
        <v>35</v>
      </c>
      <c r="B518" s="265" t="s">
        <v>63</v>
      </c>
      <c r="C518" s="265">
        <v>1620120210</v>
      </c>
      <c r="D518" s="265" t="s">
        <v>72</v>
      </c>
      <c r="E518" s="256" t="s">
        <v>95</v>
      </c>
      <c r="F518" s="22">
        <f>F519</f>
        <v>2902.1</v>
      </c>
      <c r="G518" s="22">
        <f t="shared" si="189"/>
        <v>2789.9</v>
      </c>
    </row>
    <row r="519" spans="1:7" ht="31.5">
      <c r="A519" s="265" t="s">
        <v>35</v>
      </c>
      <c r="B519" s="265" t="s">
        <v>63</v>
      </c>
      <c r="C519" s="265">
        <v>1620120210</v>
      </c>
      <c r="D519" s="265">
        <v>240</v>
      </c>
      <c r="E519" s="256" t="s">
        <v>257</v>
      </c>
      <c r="F519" s="22">
        <f>243.6+2594+64.5</f>
        <v>2902.1</v>
      </c>
      <c r="G519" s="22">
        <v>2789.9</v>
      </c>
    </row>
    <row r="520" spans="1:7" ht="31.5">
      <c r="A520" s="265" t="s">
        <v>35</v>
      </c>
      <c r="B520" s="265" t="s">
        <v>63</v>
      </c>
      <c r="C520" s="265">
        <v>1620120220</v>
      </c>
      <c r="D520" s="265"/>
      <c r="E520" s="256" t="s">
        <v>108</v>
      </c>
      <c r="F520" s="22">
        <f>F521</f>
        <v>126</v>
      </c>
      <c r="G520" s="22">
        <f aca="true" t="shared" si="190" ref="G520">G521</f>
        <v>125.8</v>
      </c>
    </row>
    <row r="521" spans="1:7" ht="31.5">
      <c r="A521" s="265" t="s">
        <v>35</v>
      </c>
      <c r="B521" s="265" t="s">
        <v>63</v>
      </c>
      <c r="C521" s="265">
        <v>1620120220</v>
      </c>
      <c r="D521" s="265" t="s">
        <v>72</v>
      </c>
      <c r="E521" s="256" t="s">
        <v>95</v>
      </c>
      <c r="F521" s="22">
        <f>F522</f>
        <v>126</v>
      </c>
      <c r="G521" s="22">
        <f aca="true" t="shared" si="191" ref="G521">G522</f>
        <v>125.8</v>
      </c>
    </row>
    <row r="522" spans="1:7" ht="31.5">
      <c r="A522" s="265" t="s">
        <v>35</v>
      </c>
      <c r="B522" s="265" t="s">
        <v>63</v>
      </c>
      <c r="C522" s="265">
        <v>1620120220</v>
      </c>
      <c r="D522" s="265">
        <v>240</v>
      </c>
      <c r="E522" s="256" t="s">
        <v>257</v>
      </c>
      <c r="F522" s="22">
        <v>126</v>
      </c>
      <c r="G522" s="22">
        <v>125.8</v>
      </c>
    </row>
    <row r="523" spans="1:7" ht="12.75">
      <c r="A523" s="265" t="s">
        <v>35</v>
      </c>
      <c r="B523" s="265" t="s">
        <v>63</v>
      </c>
      <c r="C523" s="265" t="s">
        <v>112</v>
      </c>
      <c r="D523" s="265" t="s">
        <v>69</v>
      </c>
      <c r="E523" s="256" t="s">
        <v>107</v>
      </c>
      <c r="F523" s="22">
        <f>F528+F524</f>
        <v>5292.3</v>
      </c>
      <c r="G523" s="22">
        <f aca="true" t="shared" si="192" ref="G523">G528+G524</f>
        <v>5267.3</v>
      </c>
    </row>
    <row r="524" spans="1:7" ht="31.5">
      <c r="A524" s="265" t="s">
        <v>35</v>
      </c>
      <c r="B524" s="265" t="s">
        <v>63</v>
      </c>
      <c r="C524" s="265">
        <v>9930000000</v>
      </c>
      <c r="D524" s="265"/>
      <c r="E524" s="73" t="s">
        <v>173</v>
      </c>
      <c r="F524" s="22">
        <f>F525</f>
        <v>65</v>
      </c>
      <c r="G524" s="22">
        <f aca="true" t="shared" si="193" ref="G524:G526">G525</f>
        <v>65</v>
      </c>
    </row>
    <row r="525" spans="1:7" ht="31.5">
      <c r="A525" s="265" t="s">
        <v>35</v>
      </c>
      <c r="B525" s="265" t="s">
        <v>63</v>
      </c>
      <c r="C525" s="265">
        <v>9930020490</v>
      </c>
      <c r="D525" s="265"/>
      <c r="E525" s="73" t="s">
        <v>334</v>
      </c>
      <c r="F525" s="22">
        <f>F526</f>
        <v>65</v>
      </c>
      <c r="G525" s="22">
        <f t="shared" si="193"/>
        <v>65</v>
      </c>
    </row>
    <row r="526" spans="1:7" ht="12.75">
      <c r="A526" s="265" t="s">
        <v>35</v>
      </c>
      <c r="B526" s="265" t="s">
        <v>63</v>
      </c>
      <c r="C526" s="265">
        <v>9930020490</v>
      </c>
      <c r="D526" s="11" t="s">
        <v>73</v>
      </c>
      <c r="E526" s="50" t="s">
        <v>74</v>
      </c>
      <c r="F526" s="22">
        <f>F527</f>
        <v>65</v>
      </c>
      <c r="G526" s="22">
        <f t="shared" si="193"/>
        <v>65</v>
      </c>
    </row>
    <row r="527" spans="1:7" ht="12.75">
      <c r="A527" s="265" t="s">
        <v>35</v>
      </c>
      <c r="B527" s="265" t="s">
        <v>63</v>
      </c>
      <c r="C527" s="265">
        <v>9930020490</v>
      </c>
      <c r="D527" s="2" t="s">
        <v>335</v>
      </c>
      <c r="E527" s="81" t="s">
        <v>336</v>
      </c>
      <c r="F527" s="22">
        <v>65</v>
      </c>
      <c r="G527" s="22">
        <v>65</v>
      </c>
    </row>
    <row r="528" spans="1:7" ht="31.5">
      <c r="A528" s="265" t="s">
        <v>35</v>
      </c>
      <c r="B528" s="265" t="s">
        <v>63</v>
      </c>
      <c r="C528" s="265">
        <v>9990000000</v>
      </c>
      <c r="D528" s="265"/>
      <c r="E528" s="256" t="s">
        <v>160</v>
      </c>
      <c r="F528" s="22">
        <f>F529</f>
        <v>5227.3</v>
      </c>
      <c r="G528" s="22">
        <f aca="true" t="shared" si="194" ref="G528:G530">G529</f>
        <v>5202.3</v>
      </c>
    </row>
    <row r="529" spans="1:7" ht="31.5">
      <c r="A529" s="265" t="s">
        <v>35</v>
      </c>
      <c r="B529" s="265" t="s">
        <v>63</v>
      </c>
      <c r="C529" s="265">
        <v>9990200000</v>
      </c>
      <c r="D529" s="73"/>
      <c r="E529" s="256" t="s">
        <v>120</v>
      </c>
      <c r="F529" s="22">
        <f>F530</f>
        <v>5227.3</v>
      </c>
      <c r="G529" s="22">
        <f t="shared" si="194"/>
        <v>5202.3</v>
      </c>
    </row>
    <row r="530" spans="1:7" ht="47.25">
      <c r="A530" s="265" t="s">
        <v>35</v>
      </c>
      <c r="B530" s="265" t="s">
        <v>63</v>
      </c>
      <c r="C530" s="265">
        <v>9990225000</v>
      </c>
      <c r="D530" s="265"/>
      <c r="E530" s="256" t="s">
        <v>121</v>
      </c>
      <c r="F530" s="22">
        <f>F531</f>
        <v>5227.3</v>
      </c>
      <c r="G530" s="22">
        <f t="shared" si="194"/>
        <v>5202.3</v>
      </c>
    </row>
    <row r="531" spans="1:7" ht="49.9" customHeight="1">
      <c r="A531" s="265" t="s">
        <v>35</v>
      </c>
      <c r="B531" s="265" t="s">
        <v>63</v>
      </c>
      <c r="C531" s="265">
        <v>9990225000</v>
      </c>
      <c r="D531" s="265" t="s">
        <v>71</v>
      </c>
      <c r="E531" s="256" t="s">
        <v>1</v>
      </c>
      <c r="F531" s="22">
        <f>F532</f>
        <v>5227.3</v>
      </c>
      <c r="G531" s="22">
        <f aca="true" t="shared" si="195" ref="G531">G532</f>
        <v>5202.3</v>
      </c>
    </row>
    <row r="532" spans="1:7" ht="31.5">
      <c r="A532" s="265" t="s">
        <v>35</v>
      </c>
      <c r="B532" s="265" t="s">
        <v>63</v>
      </c>
      <c r="C532" s="265">
        <v>9990225000</v>
      </c>
      <c r="D532" s="265">
        <v>120</v>
      </c>
      <c r="E532" s="256" t="s">
        <v>258</v>
      </c>
      <c r="F532" s="22">
        <f>4918.8+308.5</f>
        <v>5227.3</v>
      </c>
      <c r="G532" s="22">
        <v>5202.3</v>
      </c>
    </row>
    <row r="533" spans="1:7" ht="12.75">
      <c r="A533" s="265" t="s">
        <v>35</v>
      </c>
      <c r="B533" s="265" t="s">
        <v>59</v>
      </c>
      <c r="C533" s="265" t="s">
        <v>69</v>
      </c>
      <c r="D533" s="265" t="s">
        <v>69</v>
      </c>
      <c r="E533" s="256" t="s">
        <v>27</v>
      </c>
      <c r="F533" s="22">
        <f aca="true" t="shared" si="196" ref="F533:G539">F534</f>
        <v>350</v>
      </c>
      <c r="G533" s="22">
        <f t="shared" si="196"/>
        <v>327.4</v>
      </c>
    </row>
    <row r="534" spans="1:7" ht="12.75">
      <c r="A534" s="265" t="s">
        <v>35</v>
      </c>
      <c r="B534" s="265" t="s">
        <v>51</v>
      </c>
      <c r="C534" s="265" t="s">
        <v>69</v>
      </c>
      <c r="D534" s="265" t="s">
        <v>69</v>
      </c>
      <c r="E534" s="256" t="s">
        <v>28</v>
      </c>
      <c r="F534" s="22">
        <f t="shared" si="196"/>
        <v>350</v>
      </c>
      <c r="G534" s="22">
        <f t="shared" si="196"/>
        <v>327.4</v>
      </c>
    </row>
    <row r="535" spans="1:7" ht="47.25">
      <c r="A535" s="265" t="s">
        <v>35</v>
      </c>
      <c r="B535" s="265" t="s">
        <v>51</v>
      </c>
      <c r="C535" s="265">
        <v>1600000000</v>
      </c>
      <c r="D535" s="265"/>
      <c r="E535" s="256" t="s">
        <v>116</v>
      </c>
      <c r="F535" s="22">
        <f t="shared" si="196"/>
        <v>350</v>
      </c>
      <c r="G535" s="22">
        <f t="shared" si="196"/>
        <v>327.4</v>
      </c>
    </row>
    <row r="536" spans="1:7" ht="31.5">
      <c r="A536" s="265" t="s">
        <v>35</v>
      </c>
      <c r="B536" s="265" t="s">
        <v>51</v>
      </c>
      <c r="C536" s="265">
        <v>1620000000</v>
      </c>
      <c r="D536" s="265"/>
      <c r="E536" s="256" t="s">
        <v>109</v>
      </c>
      <c r="F536" s="22">
        <f t="shared" si="196"/>
        <v>350</v>
      </c>
      <c r="G536" s="22">
        <f t="shared" si="196"/>
        <v>327.4</v>
      </c>
    </row>
    <row r="537" spans="1:7" ht="12.75">
      <c r="A537" s="265" t="s">
        <v>35</v>
      </c>
      <c r="B537" s="265" t="s">
        <v>51</v>
      </c>
      <c r="C537" s="265">
        <v>1620100000</v>
      </c>
      <c r="D537" s="265"/>
      <c r="E537" s="256" t="s">
        <v>110</v>
      </c>
      <c r="F537" s="22">
        <f t="shared" si="196"/>
        <v>350</v>
      </c>
      <c r="G537" s="22">
        <f t="shared" si="196"/>
        <v>327.4</v>
      </c>
    </row>
    <row r="538" spans="1:7" ht="31.5">
      <c r="A538" s="265" t="s">
        <v>35</v>
      </c>
      <c r="B538" s="265" t="s">
        <v>51</v>
      </c>
      <c r="C538" s="265">
        <v>1620120240</v>
      </c>
      <c r="D538" s="265"/>
      <c r="E538" s="256" t="s">
        <v>113</v>
      </c>
      <c r="F538" s="22">
        <f t="shared" si="196"/>
        <v>350</v>
      </c>
      <c r="G538" s="22">
        <f t="shared" si="196"/>
        <v>327.4</v>
      </c>
    </row>
    <row r="539" spans="1:7" ht="31.5">
      <c r="A539" s="265" t="s">
        <v>35</v>
      </c>
      <c r="B539" s="265" t="s">
        <v>51</v>
      </c>
      <c r="C539" s="265">
        <v>1620120240</v>
      </c>
      <c r="D539" s="265" t="s">
        <v>72</v>
      </c>
      <c r="E539" s="256" t="s">
        <v>95</v>
      </c>
      <c r="F539" s="22">
        <f t="shared" si="196"/>
        <v>350</v>
      </c>
      <c r="G539" s="22">
        <f t="shared" si="196"/>
        <v>327.4</v>
      </c>
    </row>
    <row r="540" spans="1:7" ht="31.5">
      <c r="A540" s="265" t="s">
        <v>35</v>
      </c>
      <c r="B540" s="265" t="s">
        <v>51</v>
      </c>
      <c r="C540" s="265">
        <v>1620120240</v>
      </c>
      <c r="D540" s="265">
        <v>240</v>
      </c>
      <c r="E540" s="256" t="s">
        <v>257</v>
      </c>
      <c r="F540" s="22">
        <f>300+965.3-915.3</f>
        <v>350</v>
      </c>
      <c r="G540" s="22">
        <v>327.4</v>
      </c>
    </row>
    <row r="541" spans="1:7" ht="12.75">
      <c r="A541" s="265" t="s">
        <v>35</v>
      </c>
      <c r="B541" s="265" t="s">
        <v>60</v>
      </c>
      <c r="C541" s="265" t="s">
        <v>69</v>
      </c>
      <c r="D541" s="265" t="s">
        <v>69</v>
      </c>
      <c r="E541" s="256" t="s">
        <v>29</v>
      </c>
      <c r="F541" s="22">
        <f aca="true" t="shared" si="197" ref="F541:G547">F542</f>
        <v>2549</v>
      </c>
      <c r="G541" s="22">
        <f t="shared" si="197"/>
        <v>2549</v>
      </c>
    </row>
    <row r="542" spans="1:7" ht="12.75">
      <c r="A542" s="265" t="s">
        <v>35</v>
      </c>
      <c r="B542" s="265" t="s">
        <v>5</v>
      </c>
      <c r="C542" s="265" t="s">
        <v>69</v>
      </c>
      <c r="D542" s="265" t="s">
        <v>69</v>
      </c>
      <c r="E542" s="256" t="s">
        <v>6</v>
      </c>
      <c r="F542" s="22">
        <f t="shared" si="197"/>
        <v>2549</v>
      </c>
      <c r="G542" s="22">
        <f t="shared" si="197"/>
        <v>2549</v>
      </c>
    </row>
    <row r="543" spans="1:7" ht="47.25">
      <c r="A543" s="265" t="s">
        <v>35</v>
      </c>
      <c r="B543" s="265" t="s">
        <v>5</v>
      </c>
      <c r="C543" s="265">
        <v>1600000000</v>
      </c>
      <c r="D543" s="265"/>
      <c r="E543" s="256" t="s">
        <v>116</v>
      </c>
      <c r="F543" s="22">
        <f t="shared" si="197"/>
        <v>2549</v>
      </c>
      <c r="G543" s="22">
        <f t="shared" si="197"/>
        <v>2549</v>
      </c>
    </row>
    <row r="544" spans="1:7" ht="31.5">
      <c r="A544" s="265" t="s">
        <v>35</v>
      </c>
      <c r="B544" s="265" t="s">
        <v>5</v>
      </c>
      <c r="C544" s="265">
        <v>1620000000</v>
      </c>
      <c r="D544" s="265"/>
      <c r="E544" s="256" t="s">
        <v>109</v>
      </c>
      <c r="F544" s="22">
        <f t="shared" si="197"/>
        <v>2549</v>
      </c>
      <c r="G544" s="22">
        <f t="shared" si="197"/>
        <v>2549</v>
      </c>
    </row>
    <row r="545" spans="1:7" ht="12.75">
      <c r="A545" s="265" t="s">
        <v>35</v>
      </c>
      <c r="B545" s="265" t="s">
        <v>5</v>
      </c>
      <c r="C545" s="265">
        <v>1620100000</v>
      </c>
      <c r="D545" s="265"/>
      <c r="E545" s="256" t="s">
        <v>110</v>
      </c>
      <c r="F545" s="22">
        <f t="shared" si="197"/>
        <v>2549</v>
      </c>
      <c r="G545" s="22">
        <f t="shared" si="197"/>
        <v>2549</v>
      </c>
    </row>
    <row r="546" spans="1:7" ht="47.25">
      <c r="A546" s="265" t="s">
        <v>35</v>
      </c>
      <c r="B546" s="265" t="s">
        <v>5</v>
      </c>
      <c r="C546" s="265">
        <v>1620120230</v>
      </c>
      <c r="D546" s="265"/>
      <c r="E546" s="256" t="s">
        <v>115</v>
      </c>
      <c r="F546" s="22">
        <f t="shared" si="197"/>
        <v>2549</v>
      </c>
      <c r="G546" s="22">
        <f t="shared" si="197"/>
        <v>2549</v>
      </c>
    </row>
    <row r="547" spans="1:7" ht="31.5">
      <c r="A547" s="265" t="s">
        <v>35</v>
      </c>
      <c r="B547" s="265" t="s">
        <v>5</v>
      </c>
      <c r="C547" s="265">
        <v>1620120230</v>
      </c>
      <c r="D547" s="265" t="s">
        <v>72</v>
      </c>
      <c r="E547" s="256" t="s">
        <v>95</v>
      </c>
      <c r="F547" s="22">
        <f t="shared" si="197"/>
        <v>2549</v>
      </c>
      <c r="G547" s="22">
        <f t="shared" si="197"/>
        <v>2549</v>
      </c>
    </row>
    <row r="548" spans="1:7" ht="31.5">
      <c r="A548" s="265" t="s">
        <v>35</v>
      </c>
      <c r="B548" s="265" t="s">
        <v>5</v>
      </c>
      <c r="C548" s="265">
        <v>1620120230</v>
      </c>
      <c r="D548" s="265">
        <v>240</v>
      </c>
      <c r="E548" s="256" t="s">
        <v>257</v>
      </c>
      <c r="F548" s="22">
        <f>1633.7+915.3</f>
        <v>2549</v>
      </c>
      <c r="G548" s="22">
        <v>2549</v>
      </c>
    </row>
    <row r="549" spans="1:7" ht="12.75">
      <c r="A549" s="265" t="s">
        <v>35</v>
      </c>
      <c r="B549" s="265" t="s">
        <v>41</v>
      </c>
      <c r="C549" s="265" t="s">
        <v>69</v>
      </c>
      <c r="D549" s="265" t="s">
        <v>69</v>
      </c>
      <c r="E549" s="256" t="s">
        <v>33</v>
      </c>
      <c r="F549" s="22">
        <f>F550</f>
        <v>8809</v>
      </c>
      <c r="G549" s="22">
        <f aca="true" t="shared" si="198" ref="G549">G550</f>
        <v>8808.8</v>
      </c>
    </row>
    <row r="550" spans="1:7" ht="12.75">
      <c r="A550" s="265" t="s">
        <v>35</v>
      </c>
      <c r="B550" s="265" t="s">
        <v>87</v>
      </c>
      <c r="C550" s="265" t="s">
        <v>69</v>
      </c>
      <c r="D550" s="265" t="s">
        <v>69</v>
      </c>
      <c r="E550" s="256" t="s">
        <v>88</v>
      </c>
      <c r="F550" s="22">
        <f aca="true" t="shared" si="199" ref="F550:G552">F551</f>
        <v>8809</v>
      </c>
      <c r="G550" s="22">
        <f t="shared" si="199"/>
        <v>8808.8</v>
      </c>
    </row>
    <row r="551" spans="1:7" ht="47.25">
      <c r="A551" s="265" t="s">
        <v>35</v>
      </c>
      <c r="B551" s="265" t="s">
        <v>87</v>
      </c>
      <c r="C551" s="265">
        <v>1600000000</v>
      </c>
      <c r="D551" s="265"/>
      <c r="E551" s="256" t="s">
        <v>116</v>
      </c>
      <c r="F551" s="22">
        <f t="shared" si="199"/>
        <v>8809</v>
      </c>
      <c r="G551" s="22">
        <f t="shared" si="199"/>
        <v>8808.8</v>
      </c>
    </row>
    <row r="552" spans="1:7" ht="31.5">
      <c r="A552" s="265" t="s">
        <v>35</v>
      </c>
      <c r="B552" s="265" t="s">
        <v>87</v>
      </c>
      <c r="C552" s="265">
        <v>1620000000</v>
      </c>
      <c r="D552" s="265"/>
      <c r="E552" s="256" t="s">
        <v>109</v>
      </c>
      <c r="F552" s="22">
        <f t="shared" si="199"/>
        <v>8809</v>
      </c>
      <c r="G552" s="22">
        <f t="shared" si="199"/>
        <v>8808.8</v>
      </c>
    </row>
    <row r="553" spans="1:7" ht="12.75">
      <c r="A553" s="265" t="s">
        <v>35</v>
      </c>
      <c r="B553" s="265" t="s">
        <v>87</v>
      </c>
      <c r="C553" s="265">
        <v>1620200000</v>
      </c>
      <c r="D553" s="265"/>
      <c r="E553" s="256" t="s">
        <v>114</v>
      </c>
      <c r="F553" s="22">
        <f>F554+F557</f>
        <v>8809</v>
      </c>
      <c r="G553" s="22">
        <f aca="true" t="shared" si="200" ref="G553">G554+G557</f>
        <v>8808.8</v>
      </c>
    </row>
    <row r="554" spans="1:7" ht="63">
      <c r="A554" s="265" t="s">
        <v>35</v>
      </c>
      <c r="B554" s="265" t="s">
        <v>87</v>
      </c>
      <c r="C554" s="265">
        <v>1620210820</v>
      </c>
      <c r="D554" s="265"/>
      <c r="E554" s="256" t="s">
        <v>252</v>
      </c>
      <c r="F554" s="22">
        <f>F555</f>
        <v>6851.4</v>
      </c>
      <c r="G554" s="22">
        <f aca="true" t="shared" si="201" ref="G554:G555">G555</f>
        <v>6851.3</v>
      </c>
    </row>
    <row r="555" spans="1:7" ht="31.5">
      <c r="A555" s="265" t="s">
        <v>35</v>
      </c>
      <c r="B555" s="265" t="s">
        <v>87</v>
      </c>
      <c r="C555" s="265">
        <v>1620210820</v>
      </c>
      <c r="D555" s="265" t="s">
        <v>75</v>
      </c>
      <c r="E555" s="256" t="s">
        <v>96</v>
      </c>
      <c r="F555" s="22">
        <f>F556</f>
        <v>6851.4</v>
      </c>
      <c r="G555" s="22">
        <f t="shared" si="201"/>
        <v>6851.3</v>
      </c>
    </row>
    <row r="556" spans="1:7" ht="12.75">
      <c r="A556" s="265" t="s">
        <v>35</v>
      </c>
      <c r="B556" s="265" t="s">
        <v>87</v>
      </c>
      <c r="C556" s="265">
        <v>1620210820</v>
      </c>
      <c r="D556" s="265" t="s">
        <v>122</v>
      </c>
      <c r="E556" s="256" t="s">
        <v>123</v>
      </c>
      <c r="F556" s="22">
        <f>1957.6+4893.8</f>
        <v>6851.4</v>
      </c>
      <c r="G556" s="22">
        <v>6851.3</v>
      </c>
    </row>
    <row r="557" spans="1:7" ht="47.25">
      <c r="A557" s="265" t="s">
        <v>35</v>
      </c>
      <c r="B557" s="265" t="s">
        <v>87</v>
      </c>
      <c r="C557" s="265" t="s">
        <v>278</v>
      </c>
      <c r="D557" s="265"/>
      <c r="E557" s="73" t="s">
        <v>279</v>
      </c>
      <c r="F557" s="22">
        <f>F558</f>
        <v>1957.6</v>
      </c>
      <c r="G557" s="22">
        <f aca="true" t="shared" si="202" ref="G557:G558">G558</f>
        <v>1957.5</v>
      </c>
    </row>
    <row r="558" spans="1:7" ht="31.5">
      <c r="A558" s="265" t="s">
        <v>35</v>
      </c>
      <c r="B558" s="265" t="s">
        <v>87</v>
      </c>
      <c r="C558" s="265" t="s">
        <v>278</v>
      </c>
      <c r="D558" s="265" t="s">
        <v>75</v>
      </c>
      <c r="E558" s="73" t="s">
        <v>96</v>
      </c>
      <c r="F558" s="22">
        <f>F559</f>
        <v>1957.6</v>
      </c>
      <c r="G558" s="22">
        <f t="shared" si="202"/>
        <v>1957.5</v>
      </c>
    </row>
    <row r="559" spans="1:7" ht="12.75">
      <c r="A559" s="265" t="s">
        <v>35</v>
      </c>
      <c r="B559" s="265" t="s">
        <v>87</v>
      </c>
      <c r="C559" s="265" t="s">
        <v>278</v>
      </c>
      <c r="D559" s="265" t="s">
        <v>122</v>
      </c>
      <c r="E559" s="73" t="s">
        <v>123</v>
      </c>
      <c r="F559" s="22">
        <v>1957.6</v>
      </c>
      <c r="G559" s="22">
        <v>1957.5</v>
      </c>
    </row>
    <row r="560" spans="1:7" ht="12.75">
      <c r="A560" s="29" t="s">
        <v>15</v>
      </c>
      <c r="B560" s="73" t="s">
        <v>69</v>
      </c>
      <c r="C560" s="73" t="s">
        <v>69</v>
      </c>
      <c r="D560" s="73" t="s">
        <v>69</v>
      </c>
      <c r="E560" s="58" t="s">
        <v>2</v>
      </c>
      <c r="F560" s="27">
        <f aca="true" t="shared" si="203" ref="F560:F565">F561</f>
        <v>2790.3</v>
      </c>
      <c r="G560" s="27">
        <f aca="true" t="shared" si="204" ref="G560:G564">G561</f>
        <v>2769.1</v>
      </c>
    </row>
    <row r="561" spans="1:7" ht="12.75">
      <c r="A561" s="265" t="s">
        <v>15</v>
      </c>
      <c r="B561" s="265" t="s">
        <v>57</v>
      </c>
      <c r="C561" s="265" t="s">
        <v>69</v>
      </c>
      <c r="D561" s="265" t="s">
        <v>69</v>
      </c>
      <c r="E561" s="59" t="s">
        <v>22</v>
      </c>
      <c r="F561" s="22">
        <f t="shared" si="203"/>
        <v>2790.3</v>
      </c>
      <c r="G561" s="22">
        <f t="shared" si="204"/>
        <v>2769.1</v>
      </c>
    </row>
    <row r="562" spans="1:7" ht="47.25">
      <c r="A562" s="265" t="s">
        <v>15</v>
      </c>
      <c r="B562" s="265" t="s">
        <v>46</v>
      </c>
      <c r="C562" s="265" t="s">
        <v>69</v>
      </c>
      <c r="D562" s="265" t="s">
        <v>69</v>
      </c>
      <c r="E562" s="256" t="s">
        <v>23</v>
      </c>
      <c r="F562" s="22">
        <f t="shared" si="203"/>
        <v>2790.3</v>
      </c>
      <c r="G562" s="22">
        <f t="shared" si="204"/>
        <v>2769.1</v>
      </c>
    </row>
    <row r="563" spans="1:7" ht="12.75">
      <c r="A563" s="265" t="s">
        <v>15</v>
      </c>
      <c r="B563" s="265" t="s">
        <v>46</v>
      </c>
      <c r="C563" s="265" t="s">
        <v>112</v>
      </c>
      <c r="D563" s="265" t="s">
        <v>69</v>
      </c>
      <c r="E563" s="256" t="s">
        <v>107</v>
      </c>
      <c r="F563" s="22">
        <f t="shared" si="203"/>
        <v>2790.3</v>
      </c>
      <c r="G563" s="22">
        <f t="shared" si="204"/>
        <v>2769.1</v>
      </c>
    </row>
    <row r="564" spans="1:7" ht="31.5">
      <c r="A564" s="265" t="s">
        <v>15</v>
      </c>
      <c r="B564" s="265" t="s">
        <v>46</v>
      </c>
      <c r="C564" s="265">
        <v>9990000000</v>
      </c>
      <c r="D564" s="265"/>
      <c r="E564" s="256" t="s">
        <v>160</v>
      </c>
      <c r="F564" s="22">
        <f t="shared" si="203"/>
        <v>2790.3</v>
      </c>
      <c r="G564" s="22">
        <f t="shared" si="204"/>
        <v>2769.1</v>
      </c>
    </row>
    <row r="565" spans="1:7" ht="31.5">
      <c r="A565" s="265" t="s">
        <v>15</v>
      </c>
      <c r="B565" s="265" t="s">
        <v>46</v>
      </c>
      <c r="C565" s="265">
        <v>9990100000</v>
      </c>
      <c r="D565" s="265"/>
      <c r="E565" s="256" t="s">
        <v>181</v>
      </c>
      <c r="F565" s="22">
        <f t="shared" si="203"/>
        <v>2790.3</v>
      </c>
      <c r="G565" s="22">
        <f>G566</f>
        <v>2769.1</v>
      </c>
    </row>
    <row r="566" spans="1:7" ht="31.5">
      <c r="A566" s="265" t="s">
        <v>15</v>
      </c>
      <c r="B566" s="265" t="s">
        <v>46</v>
      </c>
      <c r="C566" s="265">
        <v>9990123000</v>
      </c>
      <c r="D566" s="265"/>
      <c r="E566" s="256" t="s">
        <v>182</v>
      </c>
      <c r="F566" s="22">
        <f>F567+F569</f>
        <v>2790.3</v>
      </c>
      <c r="G566" s="22">
        <f aca="true" t="shared" si="205" ref="G566">G567+G569</f>
        <v>2769.1</v>
      </c>
    </row>
    <row r="567" spans="1:7" ht="54.6" customHeight="1">
      <c r="A567" s="265" t="s">
        <v>15</v>
      </c>
      <c r="B567" s="265" t="s">
        <v>46</v>
      </c>
      <c r="C567" s="265">
        <v>9990123000</v>
      </c>
      <c r="D567" s="265" t="s">
        <v>71</v>
      </c>
      <c r="E567" s="256" t="s">
        <v>1</v>
      </c>
      <c r="F567" s="22">
        <f>F568</f>
        <v>2260.4</v>
      </c>
      <c r="G567" s="22">
        <f aca="true" t="shared" si="206" ref="G567">G568</f>
        <v>2260.4</v>
      </c>
    </row>
    <row r="568" spans="1:7" ht="31.5">
      <c r="A568" s="265" t="s">
        <v>15</v>
      </c>
      <c r="B568" s="265" t="s">
        <v>46</v>
      </c>
      <c r="C568" s="265">
        <v>9990123000</v>
      </c>
      <c r="D568" s="265">
        <v>120</v>
      </c>
      <c r="E568" s="256" t="s">
        <v>258</v>
      </c>
      <c r="F568" s="22">
        <f>2579.4-319</f>
        <v>2260.4</v>
      </c>
      <c r="G568" s="22">
        <v>2260.4</v>
      </c>
    </row>
    <row r="569" spans="1:7" ht="31.5">
      <c r="A569" s="265" t="s">
        <v>15</v>
      </c>
      <c r="B569" s="265" t="s">
        <v>46</v>
      </c>
      <c r="C569" s="265">
        <v>9990123000</v>
      </c>
      <c r="D569" s="265" t="s">
        <v>72</v>
      </c>
      <c r="E569" s="256" t="s">
        <v>95</v>
      </c>
      <c r="F569" s="22">
        <f>F570</f>
        <v>529.9</v>
      </c>
      <c r="G569" s="22">
        <f aca="true" t="shared" si="207" ref="G569">G570</f>
        <v>508.7</v>
      </c>
    </row>
    <row r="570" spans="1:7" ht="31.5">
      <c r="A570" s="265" t="s">
        <v>15</v>
      </c>
      <c r="B570" s="265" t="s">
        <v>46</v>
      </c>
      <c r="C570" s="265">
        <v>9990123000</v>
      </c>
      <c r="D570" s="265">
        <v>240</v>
      </c>
      <c r="E570" s="256" t="s">
        <v>257</v>
      </c>
      <c r="F570" s="22">
        <f>528.9+1</f>
        <v>529.9</v>
      </c>
      <c r="G570" s="22">
        <v>508.7</v>
      </c>
    </row>
    <row r="571" spans="1:7" ht="12.75">
      <c r="A571" s="29" t="s">
        <v>10</v>
      </c>
      <c r="B571" s="73" t="s">
        <v>69</v>
      </c>
      <c r="C571" s="73" t="s">
        <v>69</v>
      </c>
      <c r="D571" s="73" t="s">
        <v>69</v>
      </c>
      <c r="E571" s="41" t="s">
        <v>433</v>
      </c>
      <c r="F571" s="27">
        <f>F572+F580+F707</f>
        <v>502387.3</v>
      </c>
      <c r="G571" s="27">
        <f>G572+G580+G707</f>
        <v>497595.1000000001</v>
      </c>
    </row>
    <row r="572" spans="1:7" ht="12.75">
      <c r="A572" s="265" t="s">
        <v>10</v>
      </c>
      <c r="B572" s="265" t="s">
        <v>59</v>
      </c>
      <c r="C572" s="265" t="s">
        <v>69</v>
      </c>
      <c r="D572" s="265" t="s">
        <v>69</v>
      </c>
      <c r="E572" s="50" t="s">
        <v>27</v>
      </c>
      <c r="F572" s="22">
        <f aca="true" t="shared" si="208" ref="F572:G578">F573</f>
        <v>175.3</v>
      </c>
      <c r="G572" s="22">
        <f t="shared" si="208"/>
        <v>175.3</v>
      </c>
    </row>
    <row r="573" spans="1:7" ht="12.75">
      <c r="A573" s="265" t="s">
        <v>10</v>
      </c>
      <c r="B573" s="18" t="s">
        <v>100</v>
      </c>
      <c r="C573" s="73"/>
      <c r="D573" s="73"/>
      <c r="E573" s="256" t="s">
        <v>101</v>
      </c>
      <c r="F573" s="22">
        <f t="shared" si="208"/>
        <v>175.3</v>
      </c>
      <c r="G573" s="22">
        <f t="shared" si="208"/>
        <v>175.3</v>
      </c>
    </row>
    <row r="574" spans="1:7" ht="31.5">
      <c r="A574" s="265" t="s">
        <v>10</v>
      </c>
      <c r="B574" s="18" t="s">
        <v>100</v>
      </c>
      <c r="C574" s="265">
        <v>1100000000</v>
      </c>
      <c r="D574" s="73"/>
      <c r="E574" s="256" t="s">
        <v>202</v>
      </c>
      <c r="F574" s="22">
        <f t="shared" si="208"/>
        <v>175.3</v>
      </c>
      <c r="G574" s="22">
        <f t="shared" si="208"/>
        <v>175.3</v>
      </c>
    </row>
    <row r="575" spans="1:7" ht="31.5">
      <c r="A575" s="265" t="s">
        <v>10</v>
      </c>
      <c r="B575" s="18" t="s">
        <v>100</v>
      </c>
      <c r="C575" s="265">
        <v>1130000000</v>
      </c>
      <c r="D575" s="73"/>
      <c r="E575" s="256" t="s">
        <v>117</v>
      </c>
      <c r="F575" s="22">
        <f t="shared" si="208"/>
        <v>175.3</v>
      </c>
      <c r="G575" s="22">
        <f t="shared" si="208"/>
        <v>175.3</v>
      </c>
    </row>
    <row r="576" spans="1:7" ht="47.25">
      <c r="A576" s="265" t="s">
        <v>10</v>
      </c>
      <c r="B576" s="18" t="s">
        <v>100</v>
      </c>
      <c r="C576" s="265">
        <v>1130300000</v>
      </c>
      <c r="D576" s="73"/>
      <c r="E576" s="256" t="s">
        <v>118</v>
      </c>
      <c r="F576" s="22">
        <f t="shared" si="208"/>
        <v>175.3</v>
      </c>
      <c r="G576" s="22">
        <f t="shared" si="208"/>
        <v>175.3</v>
      </c>
    </row>
    <row r="577" spans="1:7" ht="31.5">
      <c r="A577" s="2" t="s">
        <v>10</v>
      </c>
      <c r="B577" s="18" t="s">
        <v>100</v>
      </c>
      <c r="C577" s="265">
        <v>1130320280</v>
      </c>
      <c r="D577" s="73"/>
      <c r="E577" s="256" t="s">
        <v>119</v>
      </c>
      <c r="F577" s="22">
        <f t="shared" si="208"/>
        <v>175.3</v>
      </c>
      <c r="G577" s="22">
        <f t="shared" si="208"/>
        <v>175.3</v>
      </c>
    </row>
    <row r="578" spans="1:7" ht="31.5">
      <c r="A578" s="2" t="s">
        <v>10</v>
      </c>
      <c r="B578" s="18" t="s">
        <v>100</v>
      </c>
      <c r="C578" s="265">
        <v>1130320280</v>
      </c>
      <c r="D578" s="265" t="s">
        <v>97</v>
      </c>
      <c r="E578" s="256" t="s">
        <v>98</v>
      </c>
      <c r="F578" s="22">
        <f t="shared" si="208"/>
        <v>175.3</v>
      </c>
      <c r="G578" s="22">
        <f t="shared" si="208"/>
        <v>175.3</v>
      </c>
    </row>
    <row r="579" spans="1:7" ht="12.75">
      <c r="A579" s="265" t="s">
        <v>10</v>
      </c>
      <c r="B579" s="18" t="s">
        <v>100</v>
      </c>
      <c r="C579" s="265">
        <v>1130320280</v>
      </c>
      <c r="D579" s="265">
        <v>610</v>
      </c>
      <c r="E579" s="256" t="s">
        <v>106</v>
      </c>
      <c r="F579" s="22">
        <f>177.4-2.1</f>
        <v>175.3</v>
      </c>
      <c r="G579" s="22">
        <v>175.3</v>
      </c>
    </row>
    <row r="580" spans="1:7" ht="12.75">
      <c r="A580" s="265" t="s">
        <v>10</v>
      </c>
      <c r="B580" s="265" t="s">
        <v>39</v>
      </c>
      <c r="C580" s="265" t="s">
        <v>69</v>
      </c>
      <c r="D580" s="265" t="s">
        <v>69</v>
      </c>
      <c r="E580" s="256" t="s">
        <v>31</v>
      </c>
      <c r="F580" s="22">
        <f>F581+F604+F662+F681+F688</f>
        <v>492623.7</v>
      </c>
      <c r="G580" s="22">
        <f>G581+G604+G662+G681+G688</f>
        <v>490119.8000000001</v>
      </c>
    </row>
    <row r="581" spans="1:7" ht="12.75">
      <c r="A581" s="265" t="s">
        <v>10</v>
      </c>
      <c r="B581" s="265" t="s">
        <v>53</v>
      </c>
      <c r="C581" s="265" t="s">
        <v>69</v>
      </c>
      <c r="D581" s="265" t="s">
        <v>69</v>
      </c>
      <c r="E581" s="256" t="s">
        <v>11</v>
      </c>
      <c r="F581" s="22">
        <f>F582+F599</f>
        <v>200711.99999999997</v>
      </c>
      <c r="G581" s="22">
        <f>G582+G599</f>
        <v>200711.99999999997</v>
      </c>
    </row>
    <row r="582" spans="1:7" ht="31.5">
      <c r="A582" s="265" t="s">
        <v>10</v>
      </c>
      <c r="B582" s="265" t="s">
        <v>53</v>
      </c>
      <c r="C582" s="265">
        <v>1100000000</v>
      </c>
      <c r="D582" s="265"/>
      <c r="E582" s="256" t="s">
        <v>202</v>
      </c>
      <c r="F582" s="22">
        <f>F583</f>
        <v>200611.99999999997</v>
      </c>
      <c r="G582" s="22">
        <f aca="true" t="shared" si="209" ref="G582">G583</f>
        <v>200611.99999999997</v>
      </c>
    </row>
    <row r="583" spans="1:7" ht="12.75">
      <c r="A583" s="265" t="s">
        <v>10</v>
      </c>
      <c r="B583" s="265" t="s">
        <v>53</v>
      </c>
      <c r="C583" s="265">
        <v>1110000000</v>
      </c>
      <c r="D583" s="265"/>
      <c r="E583" s="256" t="s">
        <v>183</v>
      </c>
      <c r="F583" s="22">
        <f>F584+F595+F591</f>
        <v>200611.99999999997</v>
      </c>
      <c r="G583" s="22">
        <f aca="true" t="shared" si="210" ref="G583">G584+G595+G591</f>
        <v>200611.99999999997</v>
      </c>
    </row>
    <row r="584" spans="1:7" ht="47.25">
      <c r="A584" s="265" t="s">
        <v>10</v>
      </c>
      <c r="B584" s="265" t="s">
        <v>53</v>
      </c>
      <c r="C584" s="265">
        <v>1110100000</v>
      </c>
      <c r="D584" s="73"/>
      <c r="E584" s="256" t="s">
        <v>184</v>
      </c>
      <c r="F584" s="22">
        <f>F588+F585</f>
        <v>196509.8</v>
      </c>
      <c r="G584" s="22">
        <f aca="true" t="shared" si="211" ref="G584">G588+G585</f>
        <v>196509.8</v>
      </c>
    </row>
    <row r="585" spans="1:7" ht="47.25">
      <c r="A585" s="2" t="s">
        <v>10</v>
      </c>
      <c r="B585" s="2" t="s">
        <v>53</v>
      </c>
      <c r="C585" s="10" t="s">
        <v>186</v>
      </c>
      <c r="D585" s="11"/>
      <c r="E585" s="50" t="s">
        <v>105</v>
      </c>
      <c r="F585" s="22">
        <f>F586</f>
        <v>108564.59999999999</v>
      </c>
      <c r="G585" s="22">
        <f aca="true" t="shared" si="212" ref="G585:G586">G586</f>
        <v>108564.6</v>
      </c>
    </row>
    <row r="586" spans="1:7" ht="31.5">
      <c r="A586" s="2" t="s">
        <v>10</v>
      </c>
      <c r="B586" s="2" t="s">
        <v>53</v>
      </c>
      <c r="C586" s="10" t="s">
        <v>186</v>
      </c>
      <c r="D586" s="265" t="s">
        <v>97</v>
      </c>
      <c r="E586" s="256" t="s">
        <v>98</v>
      </c>
      <c r="F586" s="22">
        <f>F587</f>
        <v>108564.59999999999</v>
      </c>
      <c r="G586" s="22">
        <f t="shared" si="212"/>
        <v>108564.6</v>
      </c>
    </row>
    <row r="587" spans="1:7" ht="12.75">
      <c r="A587" s="265" t="s">
        <v>10</v>
      </c>
      <c r="B587" s="2" t="s">
        <v>53</v>
      </c>
      <c r="C587" s="10" t="s">
        <v>186</v>
      </c>
      <c r="D587" s="265">
        <v>610</v>
      </c>
      <c r="E587" s="256" t="s">
        <v>106</v>
      </c>
      <c r="F587" s="22">
        <f>105490+2767.2+307.4</f>
        <v>108564.59999999999</v>
      </c>
      <c r="G587" s="22">
        <v>108564.6</v>
      </c>
    </row>
    <row r="588" spans="1:7" ht="31.5">
      <c r="A588" s="2" t="s">
        <v>10</v>
      </c>
      <c r="B588" s="2" t="s">
        <v>53</v>
      </c>
      <c r="C588" s="10" t="s">
        <v>185</v>
      </c>
      <c r="D588" s="10"/>
      <c r="E588" s="50" t="s">
        <v>126</v>
      </c>
      <c r="F588" s="22">
        <f>F589</f>
        <v>87945.2</v>
      </c>
      <c r="G588" s="22">
        <f aca="true" t="shared" si="213" ref="G588:G589">G589</f>
        <v>87945.2</v>
      </c>
    </row>
    <row r="589" spans="1:7" ht="31.5">
      <c r="A589" s="2" t="s">
        <v>10</v>
      </c>
      <c r="B589" s="2" t="s">
        <v>53</v>
      </c>
      <c r="C589" s="10" t="s">
        <v>185</v>
      </c>
      <c r="D589" s="265" t="s">
        <v>97</v>
      </c>
      <c r="E589" s="256" t="s">
        <v>98</v>
      </c>
      <c r="F589" s="22">
        <f>F590</f>
        <v>87945.2</v>
      </c>
      <c r="G589" s="22">
        <f t="shared" si="213"/>
        <v>87945.2</v>
      </c>
    </row>
    <row r="590" spans="1:7" ht="12.75">
      <c r="A590" s="265" t="s">
        <v>10</v>
      </c>
      <c r="B590" s="2" t="s">
        <v>53</v>
      </c>
      <c r="C590" s="10" t="s">
        <v>185</v>
      </c>
      <c r="D590" s="265">
        <v>610</v>
      </c>
      <c r="E590" s="256" t="s">
        <v>106</v>
      </c>
      <c r="F590" s="22">
        <f>91905.1-265.9-979.1-448.8-2266.1</f>
        <v>87945.2</v>
      </c>
      <c r="G590" s="22">
        <v>87945.2</v>
      </c>
    </row>
    <row r="591" spans="1:7" ht="63">
      <c r="A591" s="2" t="s">
        <v>10</v>
      </c>
      <c r="B591" s="2" t="s">
        <v>53</v>
      </c>
      <c r="C591" s="265">
        <v>1110600000</v>
      </c>
      <c r="D591" s="265"/>
      <c r="E591" s="73" t="s">
        <v>325</v>
      </c>
      <c r="F591" s="22">
        <f>F592</f>
        <v>867.8000000000001</v>
      </c>
      <c r="G591" s="22">
        <f aca="true" t="shared" si="214" ref="G591:G593">G592</f>
        <v>867.8</v>
      </c>
    </row>
    <row r="592" spans="1:7" ht="31.5">
      <c r="A592" s="2" t="s">
        <v>10</v>
      </c>
      <c r="B592" s="2" t="s">
        <v>53</v>
      </c>
      <c r="C592" s="265">
        <v>1110620030</v>
      </c>
      <c r="D592" s="265"/>
      <c r="E592" s="73" t="s">
        <v>326</v>
      </c>
      <c r="F592" s="22">
        <f>F593</f>
        <v>867.8000000000001</v>
      </c>
      <c r="G592" s="22">
        <f t="shared" si="214"/>
        <v>867.8</v>
      </c>
    </row>
    <row r="593" spans="1:7" ht="31.5">
      <c r="A593" s="265" t="s">
        <v>10</v>
      </c>
      <c r="B593" s="2" t="s">
        <v>53</v>
      </c>
      <c r="C593" s="265">
        <v>1110620030</v>
      </c>
      <c r="D593" s="265" t="s">
        <v>97</v>
      </c>
      <c r="E593" s="256" t="s">
        <v>98</v>
      </c>
      <c r="F593" s="22">
        <f>F594</f>
        <v>867.8000000000001</v>
      </c>
      <c r="G593" s="22">
        <f t="shared" si="214"/>
        <v>867.8</v>
      </c>
    </row>
    <row r="594" spans="1:7" ht="12.75">
      <c r="A594" s="2" t="s">
        <v>10</v>
      </c>
      <c r="B594" s="2" t="s">
        <v>53</v>
      </c>
      <c r="C594" s="265">
        <v>1110620030</v>
      </c>
      <c r="D594" s="265">
        <v>610</v>
      </c>
      <c r="E594" s="256" t="s">
        <v>106</v>
      </c>
      <c r="F594" s="22">
        <f>799.2+68.6</f>
        <v>867.8000000000001</v>
      </c>
      <c r="G594" s="22">
        <v>867.8</v>
      </c>
    </row>
    <row r="595" spans="1:7" ht="63">
      <c r="A595" s="2" t="s">
        <v>10</v>
      </c>
      <c r="B595" s="2" t="s">
        <v>53</v>
      </c>
      <c r="C595" s="265">
        <v>1110700000</v>
      </c>
      <c r="D595" s="265"/>
      <c r="E595" s="73" t="s">
        <v>318</v>
      </c>
      <c r="F595" s="22">
        <f>F596</f>
        <v>3234.4</v>
      </c>
      <c r="G595" s="22">
        <f>G596</f>
        <v>3234.4</v>
      </c>
    </row>
    <row r="596" spans="1:7" ht="31.5">
      <c r="A596" s="2" t="s">
        <v>10</v>
      </c>
      <c r="B596" s="2" t="s">
        <v>53</v>
      </c>
      <c r="C596" s="10" t="s">
        <v>320</v>
      </c>
      <c r="D596" s="265"/>
      <c r="E596" s="73" t="s">
        <v>321</v>
      </c>
      <c r="F596" s="22">
        <f>F597</f>
        <v>3234.4</v>
      </c>
      <c r="G596" s="22">
        <f aca="true" t="shared" si="215" ref="G596:G597">G597</f>
        <v>3234.4</v>
      </c>
    </row>
    <row r="597" spans="1:7" ht="31.5">
      <c r="A597" s="265" t="s">
        <v>10</v>
      </c>
      <c r="B597" s="2" t="s">
        <v>53</v>
      </c>
      <c r="C597" s="10" t="s">
        <v>320</v>
      </c>
      <c r="D597" s="265" t="s">
        <v>97</v>
      </c>
      <c r="E597" s="256" t="s">
        <v>98</v>
      </c>
      <c r="F597" s="22">
        <f>F598</f>
        <v>3234.4</v>
      </c>
      <c r="G597" s="22">
        <f t="shared" si="215"/>
        <v>3234.4</v>
      </c>
    </row>
    <row r="598" spans="1:7" ht="12.75">
      <c r="A598" s="2" t="s">
        <v>10</v>
      </c>
      <c r="B598" s="2" t="s">
        <v>53</v>
      </c>
      <c r="C598" s="10" t="s">
        <v>320</v>
      </c>
      <c r="D598" s="265">
        <v>610</v>
      </c>
      <c r="E598" s="256" t="s">
        <v>106</v>
      </c>
      <c r="F598" s="22">
        <f>2676+478.5-282.2+343.4+18.7</f>
        <v>3234.4</v>
      </c>
      <c r="G598" s="22">
        <v>3234.4</v>
      </c>
    </row>
    <row r="599" spans="1:7" ht="12.75">
      <c r="A599" s="265" t="s">
        <v>10</v>
      </c>
      <c r="B599" s="2" t="s">
        <v>53</v>
      </c>
      <c r="C599" s="265">
        <v>9900000000</v>
      </c>
      <c r="D599" s="265"/>
      <c r="E599" s="73" t="s">
        <v>107</v>
      </c>
      <c r="F599" s="22">
        <f>F600</f>
        <v>100</v>
      </c>
      <c r="G599" s="22">
        <f aca="true" t="shared" si="216" ref="G599:G602">G600</f>
        <v>100</v>
      </c>
    </row>
    <row r="600" spans="1:7" ht="47.25">
      <c r="A600" s="265" t="s">
        <v>10</v>
      </c>
      <c r="B600" s="2" t="s">
        <v>53</v>
      </c>
      <c r="C600" s="265">
        <v>9920000000</v>
      </c>
      <c r="D600" s="265"/>
      <c r="E600" s="73" t="s">
        <v>381</v>
      </c>
      <c r="F600" s="22">
        <f>F601</f>
        <v>100</v>
      </c>
      <c r="G600" s="22">
        <f t="shared" si="216"/>
        <v>100</v>
      </c>
    </row>
    <row r="601" spans="1:7" ht="31.5">
      <c r="A601" s="265" t="s">
        <v>10</v>
      </c>
      <c r="B601" s="2" t="s">
        <v>53</v>
      </c>
      <c r="C601" s="265">
        <v>9920010920</v>
      </c>
      <c r="D601" s="265"/>
      <c r="E601" s="73" t="s">
        <v>382</v>
      </c>
      <c r="F601" s="22">
        <f>F602</f>
        <v>100</v>
      </c>
      <c r="G601" s="22">
        <f t="shared" si="216"/>
        <v>100</v>
      </c>
    </row>
    <row r="602" spans="1:7" ht="31.5">
      <c r="A602" s="2" t="s">
        <v>10</v>
      </c>
      <c r="B602" s="2" t="s">
        <v>53</v>
      </c>
      <c r="C602" s="265">
        <v>9920010920</v>
      </c>
      <c r="D602" s="265" t="s">
        <v>97</v>
      </c>
      <c r="E602" s="73" t="s">
        <v>98</v>
      </c>
      <c r="F602" s="22">
        <f>F603</f>
        <v>100</v>
      </c>
      <c r="G602" s="22">
        <f t="shared" si="216"/>
        <v>100</v>
      </c>
    </row>
    <row r="603" spans="1:7" ht="12.75">
      <c r="A603" s="2" t="s">
        <v>10</v>
      </c>
      <c r="B603" s="2" t="s">
        <v>53</v>
      </c>
      <c r="C603" s="265">
        <v>9920010920</v>
      </c>
      <c r="D603" s="265">
        <v>610</v>
      </c>
      <c r="E603" s="73" t="s">
        <v>106</v>
      </c>
      <c r="F603" s="22">
        <v>100</v>
      </c>
      <c r="G603" s="22">
        <v>100</v>
      </c>
    </row>
    <row r="604" spans="1:7" ht="12.75">
      <c r="A604" s="265" t="s">
        <v>10</v>
      </c>
      <c r="B604" s="265" t="s">
        <v>54</v>
      </c>
      <c r="C604" s="265" t="s">
        <v>69</v>
      </c>
      <c r="D604" s="265" t="s">
        <v>69</v>
      </c>
      <c r="E604" s="256" t="s">
        <v>12</v>
      </c>
      <c r="F604" s="22">
        <f>F605+F648+F657</f>
        <v>271114.60000000003</v>
      </c>
      <c r="G604" s="22">
        <f>G605+G648+G657</f>
        <v>268610.70000000007</v>
      </c>
    </row>
    <row r="605" spans="1:7" ht="31.5">
      <c r="A605" s="265" t="s">
        <v>10</v>
      </c>
      <c r="B605" s="265" t="s">
        <v>54</v>
      </c>
      <c r="C605" s="265">
        <v>1100000000</v>
      </c>
      <c r="D605" s="265"/>
      <c r="E605" s="256" t="s">
        <v>202</v>
      </c>
      <c r="F605" s="22">
        <f>F606+F638+F643</f>
        <v>270747.2</v>
      </c>
      <c r="G605" s="22">
        <f>G606+G638+G643</f>
        <v>268243.30000000005</v>
      </c>
    </row>
    <row r="606" spans="1:7" ht="12.75">
      <c r="A606" s="265" t="s">
        <v>10</v>
      </c>
      <c r="B606" s="265" t="s">
        <v>54</v>
      </c>
      <c r="C606" s="265">
        <v>1110000000</v>
      </c>
      <c r="D606" s="265"/>
      <c r="E606" s="256" t="s">
        <v>251</v>
      </c>
      <c r="F606" s="22">
        <f>F607+F614+F624+F634</f>
        <v>266230.9</v>
      </c>
      <c r="G606" s="22">
        <f aca="true" t="shared" si="217" ref="G606">G607+G614+G624+G634</f>
        <v>263848.30000000005</v>
      </c>
    </row>
    <row r="607" spans="1:7" ht="47.25">
      <c r="A607" s="265" t="s">
        <v>10</v>
      </c>
      <c r="B607" s="265" t="s">
        <v>54</v>
      </c>
      <c r="C607" s="265">
        <v>1110100000</v>
      </c>
      <c r="D607" s="73"/>
      <c r="E607" s="256" t="s">
        <v>184</v>
      </c>
      <c r="F607" s="22">
        <f>F611+F608</f>
        <v>240366.4</v>
      </c>
      <c r="G607" s="22">
        <f aca="true" t="shared" si="218" ref="G607">G611+G608</f>
        <v>240366.40000000002</v>
      </c>
    </row>
    <row r="608" spans="1:7" ht="78" customHeight="1">
      <c r="A608" s="265" t="s">
        <v>10</v>
      </c>
      <c r="B608" s="265" t="s">
        <v>54</v>
      </c>
      <c r="C608" s="265">
        <v>1110110750</v>
      </c>
      <c r="D608" s="265"/>
      <c r="E608" s="256" t="s">
        <v>187</v>
      </c>
      <c r="F608" s="22">
        <f>F609</f>
        <v>200357.1</v>
      </c>
      <c r="G608" s="22">
        <f aca="true" t="shared" si="219" ref="G608:G609">G609</f>
        <v>200357.1</v>
      </c>
    </row>
    <row r="609" spans="1:7" ht="31.5">
      <c r="A609" s="265" t="s">
        <v>10</v>
      </c>
      <c r="B609" s="265" t="s">
        <v>54</v>
      </c>
      <c r="C609" s="265">
        <v>1110110750</v>
      </c>
      <c r="D609" s="265" t="s">
        <v>97</v>
      </c>
      <c r="E609" s="256" t="s">
        <v>98</v>
      </c>
      <c r="F609" s="22">
        <f>F610</f>
        <v>200357.1</v>
      </c>
      <c r="G609" s="22">
        <f t="shared" si="219"/>
        <v>200357.1</v>
      </c>
    </row>
    <row r="610" spans="1:7" ht="12.75">
      <c r="A610" s="265" t="s">
        <v>10</v>
      </c>
      <c r="B610" s="265" t="s">
        <v>54</v>
      </c>
      <c r="C610" s="265">
        <v>1110110750</v>
      </c>
      <c r="D610" s="265">
        <v>610</v>
      </c>
      <c r="E610" s="256" t="s">
        <v>106</v>
      </c>
      <c r="F610" s="22">
        <v>200357.1</v>
      </c>
      <c r="G610" s="22">
        <v>200357.1</v>
      </c>
    </row>
    <row r="611" spans="1:7" ht="31.5">
      <c r="A611" s="265" t="s">
        <v>10</v>
      </c>
      <c r="B611" s="265" t="s">
        <v>54</v>
      </c>
      <c r="C611" s="10" t="s">
        <v>185</v>
      </c>
      <c r="D611" s="10"/>
      <c r="E611" s="50" t="s">
        <v>126</v>
      </c>
      <c r="F611" s="22">
        <f>F612</f>
        <v>40009.299999999996</v>
      </c>
      <c r="G611" s="22">
        <f aca="true" t="shared" si="220" ref="G611:G612">G612</f>
        <v>40009.3</v>
      </c>
    </row>
    <row r="612" spans="1:7" ht="31.5">
      <c r="A612" s="265" t="s">
        <v>10</v>
      </c>
      <c r="B612" s="265" t="s">
        <v>54</v>
      </c>
      <c r="C612" s="10" t="s">
        <v>185</v>
      </c>
      <c r="D612" s="265" t="s">
        <v>97</v>
      </c>
      <c r="E612" s="256" t="s">
        <v>98</v>
      </c>
      <c r="F612" s="22">
        <f>F613</f>
        <v>40009.299999999996</v>
      </c>
      <c r="G612" s="22">
        <f t="shared" si="220"/>
        <v>40009.3</v>
      </c>
    </row>
    <row r="613" spans="1:7" ht="12.75">
      <c r="A613" s="265" t="s">
        <v>10</v>
      </c>
      <c r="B613" s="265" t="s">
        <v>54</v>
      </c>
      <c r="C613" s="10" t="s">
        <v>185</v>
      </c>
      <c r="D613" s="265">
        <v>610</v>
      </c>
      <c r="E613" s="256" t="s">
        <v>106</v>
      </c>
      <c r="F613" s="22">
        <f>45112.7-721.9-367.7-3497.3-516.5</f>
        <v>40009.299999999996</v>
      </c>
      <c r="G613" s="22">
        <v>40009.3</v>
      </c>
    </row>
    <row r="614" spans="1:7" ht="31.5">
      <c r="A614" s="265" t="s">
        <v>10</v>
      </c>
      <c r="B614" s="265" t="s">
        <v>54</v>
      </c>
      <c r="C614" s="265">
        <v>1110300000</v>
      </c>
      <c r="D614" s="265"/>
      <c r="E614" s="256" t="s">
        <v>188</v>
      </c>
      <c r="F614" s="22">
        <f>F618+F615+F621</f>
        <v>14744.1</v>
      </c>
      <c r="G614" s="22">
        <f aca="true" t="shared" si="221" ref="G614">G618+G615+G621</f>
        <v>12763</v>
      </c>
    </row>
    <row r="615" spans="1:7" ht="47.25">
      <c r="A615" s="265" t="s">
        <v>10</v>
      </c>
      <c r="B615" s="265" t="s">
        <v>54</v>
      </c>
      <c r="C615" s="265">
        <v>1110310230</v>
      </c>
      <c r="D615" s="265"/>
      <c r="E615" s="256" t="s">
        <v>317</v>
      </c>
      <c r="F615" s="22">
        <f>F616</f>
        <v>2760</v>
      </c>
      <c r="G615" s="22">
        <f aca="true" t="shared" si="222" ref="G615:G616">G616</f>
        <v>2759.9</v>
      </c>
    </row>
    <row r="616" spans="1:7" ht="31.5">
      <c r="A616" s="265" t="s">
        <v>10</v>
      </c>
      <c r="B616" s="265" t="s">
        <v>54</v>
      </c>
      <c r="C616" s="265">
        <v>1110310230</v>
      </c>
      <c r="D616" s="265" t="s">
        <v>97</v>
      </c>
      <c r="E616" s="256" t="s">
        <v>98</v>
      </c>
      <c r="F616" s="22">
        <f>F617</f>
        <v>2760</v>
      </c>
      <c r="G616" s="22">
        <f t="shared" si="222"/>
        <v>2759.9</v>
      </c>
    </row>
    <row r="617" spans="1:7" ht="12.75">
      <c r="A617" s="265" t="s">
        <v>10</v>
      </c>
      <c r="B617" s="265" t="s">
        <v>54</v>
      </c>
      <c r="C617" s="265">
        <v>1110310230</v>
      </c>
      <c r="D617" s="265">
        <v>610</v>
      </c>
      <c r="E617" s="256" t="s">
        <v>106</v>
      </c>
      <c r="F617" s="22">
        <f>4088.2-1328.2</f>
        <v>2760</v>
      </c>
      <c r="G617" s="22">
        <v>2759.9</v>
      </c>
    </row>
    <row r="618" spans="1:7" ht="47.25">
      <c r="A618" s="265" t="s">
        <v>10</v>
      </c>
      <c r="B618" s="265" t="s">
        <v>54</v>
      </c>
      <c r="C618" s="265" t="s">
        <v>190</v>
      </c>
      <c r="D618" s="265"/>
      <c r="E618" s="256" t="s">
        <v>189</v>
      </c>
      <c r="F618" s="22">
        <f>F619</f>
        <v>2760</v>
      </c>
      <c r="G618" s="22">
        <f aca="true" t="shared" si="223" ref="G618:G619">G619</f>
        <v>2759.9</v>
      </c>
    </row>
    <row r="619" spans="1:7" ht="31.5">
      <c r="A619" s="265" t="s">
        <v>10</v>
      </c>
      <c r="B619" s="265" t="s">
        <v>54</v>
      </c>
      <c r="C619" s="265" t="s">
        <v>190</v>
      </c>
      <c r="D619" s="265" t="s">
        <v>97</v>
      </c>
      <c r="E619" s="256" t="s">
        <v>98</v>
      </c>
      <c r="F619" s="22">
        <f>F620</f>
        <v>2760</v>
      </c>
      <c r="G619" s="22">
        <f t="shared" si="223"/>
        <v>2759.9</v>
      </c>
    </row>
    <row r="620" spans="1:7" ht="12.75">
      <c r="A620" s="265" t="s">
        <v>10</v>
      </c>
      <c r="B620" s="265" t="s">
        <v>54</v>
      </c>
      <c r="C620" s="265" t="s">
        <v>190</v>
      </c>
      <c r="D620" s="265">
        <v>610</v>
      </c>
      <c r="E620" s="256" t="s">
        <v>106</v>
      </c>
      <c r="F620" s="22">
        <f>4124-941.8-422.2</f>
        <v>2760</v>
      </c>
      <c r="G620" s="22">
        <v>2759.9</v>
      </c>
    </row>
    <row r="621" spans="1:7" ht="47.25">
      <c r="A621" s="265" t="s">
        <v>10</v>
      </c>
      <c r="B621" s="265" t="s">
        <v>54</v>
      </c>
      <c r="C621" s="265" t="s">
        <v>424</v>
      </c>
      <c r="D621" s="265"/>
      <c r="E621" s="256" t="s">
        <v>426</v>
      </c>
      <c r="F621" s="22">
        <f>F622</f>
        <v>9224.1</v>
      </c>
      <c r="G621" s="22">
        <f aca="true" t="shared" si="224" ref="G621:G622">G622</f>
        <v>7243.2</v>
      </c>
    </row>
    <row r="622" spans="1:7" ht="31.5">
      <c r="A622" s="265" t="s">
        <v>10</v>
      </c>
      <c r="B622" s="265" t="s">
        <v>54</v>
      </c>
      <c r="C622" s="265" t="s">
        <v>424</v>
      </c>
      <c r="D622" s="265" t="s">
        <v>97</v>
      </c>
      <c r="E622" s="256" t="s">
        <v>98</v>
      </c>
      <c r="F622" s="22">
        <f>F623</f>
        <v>9224.1</v>
      </c>
      <c r="G622" s="22">
        <f t="shared" si="224"/>
        <v>7243.2</v>
      </c>
    </row>
    <row r="623" spans="1:7" ht="12.75">
      <c r="A623" s="265" t="s">
        <v>10</v>
      </c>
      <c r="B623" s="265" t="s">
        <v>54</v>
      </c>
      <c r="C623" s="265" t="s">
        <v>424</v>
      </c>
      <c r="D623" s="265">
        <v>610</v>
      </c>
      <c r="E623" s="256" t="s">
        <v>106</v>
      </c>
      <c r="F623" s="22">
        <f>941.8+8476.6-194.3</f>
        <v>9224.1</v>
      </c>
      <c r="G623" s="22">
        <v>7243.2</v>
      </c>
    </row>
    <row r="624" spans="1:7" ht="63">
      <c r="A624" s="265" t="s">
        <v>10</v>
      </c>
      <c r="B624" s="265" t="s">
        <v>54</v>
      </c>
      <c r="C624" s="265">
        <v>1110700000</v>
      </c>
      <c r="D624" s="265"/>
      <c r="E624" s="256" t="s">
        <v>318</v>
      </c>
      <c r="F624" s="22">
        <f>F631+F628+F625</f>
        <v>6277</v>
      </c>
      <c r="G624" s="22">
        <f aca="true" t="shared" si="225" ref="G624">G631+G628+G625</f>
        <v>6270.4</v>
      </c>
    </row>
    <row r="625" spans="1:7" ht="42.6" customHeight="1">
      <c r="A625" s="265" t="s">
        <v>10</v>
      </c>
      <c r="B625" s="265" t="s">
        <v>54</v>
      </c>
      <c r="C625" s="265">
        <v>1110710440</v>
      </c>
      <c r="D625" s="265"/>
      <c r="E625" s="256" t="s">
        <v>351</v>
      </c>
      <c r="F625" s="22">
        <f>F626</f>
        <v>3436.1000000000004</v>
      </c>
      <c r="G625" s="22">
        <f aca="true" t="shared" si="226" ref="G625:G626">G626</f>
        <v>3429.5</v>
      </c>
    </row>
    <row r="626" spans="1:7" ht="31.5">
      <c r="A626" s="265" t="s">
        <v>10</v>
      </c>
      <c r="B626" s="265" t="s">
        <v>54</v>
      </c>
      <c r="C626" s="265">
        <v>1110710440</v>
      </c>
      <c r="D626" s="265" t="s">
        <v>97</v>
      </c>
      <c r="E626" s="256" t="s">
        <v>98</v>
      </c>
      <c r="F626" s="22">
        <f>F627</f>
        <v>3436.1000000000004</v>
      </c>
      <c r="G626" s="22">
        <f t="shared" si="226"/>
        <v>3429.5</v>
      </c>
    </row>
    <row r="627" spans="1:7" ht="12.75">
      <c r="A627" s="265" t="s">
        <v>10</v>
      </c>
      <c r="B627" s="265" t="s">
        <v>54</v>
      </c>
      <c r="C627" s="265">
        <v>1110710440</v>
      </c>
      <c r="D627" s="265">
        <v>610</v>
      </c>
      <c r="E627" s="256" t="s">
        <v>106</v>
      </c>
      <c r="F627" s="22">
        <f>3165.3+270.8</f>
        <v>3436.1000000000004</v>
      </c>
      <c r="G627" s="22">
        <v>3429.5</v>
      </c>
    </row>
    <row r="628" spans="1:7" ht="31.5">
      <c r="A628" s="265" t="s">
        <v>10</v>
      </c>
      <c r="B628" s="265" t="s">
        <v>54</v>
      </c>
      <c r="C628" s="10" t="s">
        <v>320</v>
      </c>
      <c r="D628" s="265"/>
      <c r="E628" s="73" t="s">
        <v>321</v>
      </c>
      <c r="F628" s="22">
        <f>F629</f>
        <v>1899.8000000000002</v>
      </c>
      <c r="G628" s="22">
        <f aca="true" t="shared" si="227" ref="G628:G629">G629</f>
        <v>1899.8</v>
      </c>
    </row>
    <row r="629" spans="1:7" ht="31.5">
      <c r="A629" s="265" t="s">
        <v>10</v>
      </c>
      <c r="B629" s="265" t="s">
        <v>54</v>
      </c>
      <c r="C629" s="10" t="s">
        <v>320</v>
      </c>
      <c r="D629" s="265" t="s">
        <v>97</v>
      </c>
      <c r="E629" s="256" t="s">
        <v>98</v>
      </c>
      <c r="F629" s="22">
        <f>F630</f>
        <v>1899.8000000000002</v>
      </c>
      <c r="G629" s="22">
        <f t="shared" si="227"/>
        <v>1899.8</v>
      </c>
    </row>
    <row r="630" spans="1:7" ht="12.75">
      <c r="A630" s="265" t="s">
        <v>10</v>
      </c>
      <c r="B630" s="265" t="s">
        <v>54</v>
      </c>
      <c r="C630" s="10" t="s">
        <v>320</v>
      </c>
      <c r="D630" s="265">
        <v>610</v>
      </c>
      <c r="E630" s="256" t="s">
        <v>106</v>
      </c>
      <c r="F630" s="22">
        <f>1136.6+154.4+27.9+75.7+505+0.2</f>
        <v>1899.8000000000002</v>
      </c>
      <c r="G630" s="22">
        <v>1899.8</v>
      </c>
    </row>
    <row r="631" spans="1:7" ht="31.5">
      <c r="A631" s="265" t="s">
        <v>10</v>
      </c>
      <c r="B631" s="265" t="s">
        <v>54</v>
      </c>
      <c r="C631" s="265" t="s">
        <v>319</v>
      </c>
      <c r="D631" s="265"/>
      <c r="E631" s="256" t="s">
        <v>250</v>
      </c>
      <c r="F631" s="22">
        <f>F632</f>
        <v>941.0999999999998</v>
      </c>
      <c r="G631" s="22">
        <f aca="true" t="shared" si="228" ref="G631:G632">G632</f>
        <v>941.1</v>
      </c>
    </row>
    <row r="632" spans="1:7" ht="31.5">
      <c r="A632" s="265" t="s">
        <v>10</v>
      </c>
      <c r="B632" s="265" t="s">
        <v>54</v>
      </c>
      <c r="C632" s="265" t="s">
        <v>319</v>
      </c>
      <c r="D632" s="265" t="s">
        <v>97</v>
      </c>
      <c r="E632" s="256" t="s">
        <v>98</v>
      </c>
      <c r="F632" s="22">
        <f>F633</f>
        <v>941.0999999999998</v>
      </c>
      <c r="G632" s="22">
        <f t="shared" si="228"/>
        <v>941.1</v>
      </c>
    </row>
    <row r="633" spans="1:7" ht="12.75">
      <c r="A633" s="265" t="s">
        <v>10</v>
      </c>
      <c r="B633" s="265" t="s">
        <v>54</v>
      </c>
      <c r="C633" s="265" t="s">
        <v>319</v>
      </c>
      <c r="D633" s="265">
        <v>610</v>
      </c>
      <c r="E633" s="256" t="s">
        <v>106</v>
      </c>
      <c r="F633" s="22">
        <f>919+339.8-589.2+273.3-1.7-0.1</f>
        <v>941.0999999999998</v>
      </c>
      <c r="G633" s="22">
        <v>941.1</v>
      </c>
    </row>
    <row r="634" spans="1:7" ht="47.25">
      <c r="A634" s="265" t="s">
        <v>10</v>
      </c>
      <c r="B634" s="265" t="s">
        <v>54</v>
      </c>
      <c r="C634" s="265">
        <v>1110800000</v>
      </c>
      <c r="D634" s="265"/>
      <c r="E634" s="256" t="s">
        <v>427</v>
      </c>
      <c r="F634" s="22">
        <f>F635</f>
        <v>4843.4</v>
      </c>
      <c r="G634" s="22">
        <f aca="true" t="shared" si="229" ref="G634:G636">G635</f>
        <v>4448.5</v>
      </c>
    </row>
    <row r="635" spans="1:7" ht="47.25">
      <c r="A635" s="265" t="s">
        <v>10</v>
      </c>
      <c r="B635" s="265" t="s">
        <v>54</v>
      </c>
      <c r="C635" s="265">
        <v>1110853031</v>
      </c>
      <c r="D635" s="265"/>
      <c r="E635" s="93" t="s">
        <v>428</v>
      </c>
      <c r="F635" s="22">
        <f>F636</f>
        <v>4843.4</v>
      </c>
      <c r="G635" s="22">
        <f t="shared" si="229"/>
        <v>4448.5</v>
      </c>
    </row>
    <row r="636" spans="1:7" ht="31.5">
      <c r="A636" s="265" t="s">
        <v>10</v>
      </c>
      <c r="B636" s="265" t="s">
        <v>54</v>
      </c>
      <c r="C636" s="265">
        <v>1110853031</v>
      </c>
      <c r="D636" s="265" t="s">
        <v>97</v>
      </c>
      <c r="E636" s="256" t="s">
        <v>98</v>
      </c>
      <c r="F636" s="22">
        <f>F637</f>
        <v>4843.4</v>
      </c>
      <c r="G636" s="22">
        <f t="shared" si="229"/>
        <v>4448.5</v>
      </c>
    </row>
    <row r="637" spans="1:7" ht="12.75">
      <c r="A637" s="265" t="s">
        <v>10</v>
      </c>
      <c r="B637" s="265" t="s">
        <v>54</v>
      </c>
      <c r="C637" s="265">
        <v>1110853031</v>
      </c>
      <c r="D637" s="265">
        <v>610</v>
      </c>
      <c r="E637" s="256" t="s">
        <v>106</v>
      </c>
      <c r="F637" s="22">
        <v>4843.4</v>
      </c>
      <c r="G637" s="22">
        <v>4448.5</v>
      </c>
    </row>
    <row r="638" spans="1:7" ht="12.75">
      <c r="A638" s="265" t="s">
        <v>10</v>
      </c>
      <c r="B638" s="265" t="s">
        <v>54</v>
      </c>
      <c r="C638" s="265">
        <v>1120000000</v>
      </c>
      <c r="D638" s="265"/>
      <c r="E638" s="256" t="s">
        <v>124</v>
      </c>
      <c r="F638" s="22">
        <f>F639</f>
        <v>4395</v>
      </c>
      <c r="G638" s="22">
        <f aca="true" t="shared" si="230" ref="G638:G641">G639</f>
        <v>4395</v>
      </c>
    </row>
    <row r="639" spans="1:7" ht="47.25">
      <c r="A639" s="265" t="s">
        <v>10</v>
      </c>
      <c r="B639" s="265" t="s">
        <v>54</v>
      </c>
      <c r="C639" s="265">
        <v>1120100000</v>
      </c>
      <c r="D639" s="265"/>
      <c r="E639" s="256" t="s">
        <v>125</v>
      </c>
      <c r="F639" s="22">
        <f>F640</f>
        <v>4395</v>
      </c>
      <c r="G639" s="22">
        <f t="shared" si="230"/>
        <v>4395</v>
      </c>
    </row>
    <row r="640" spans="1:7" ht="31.5">
      <c r="A640" s="265" t="s">
        <v>10</v>
      </c>
      <c r="B640" s="265" t="s">
        <v>54</v>
      </c>
      <c r="C640" s="265">
        <v>1120120010</v>
      </c>
      <c r="D640" s="265"/>
      <c r="E640" s="256" t="s">
        <v>126</v>
      </c>
      <c r="F640" s="22">
        <f>F641</f>
        <v>4395</v>
      </c>
      <c r="G640" s="22">
        <f t="shared" si="230"/>
        <v>4395</v>
      </c>
    </row>
    <row r="641" spans="1:7" ht="31.5">
      <c r="A641" s="265" t="s">
        <v>10</v>
      </c>
      <c r="B641" s="265" t="s">
        <v>54</v>
      </c>
      <c r="C641" s="265">
        <v>1120120010</v>
      </c>
      <c r="D641" s="265" t="s">
        <v>97</v>
      </c>
      <c r="E641" s="256" t="s">
        <v>98</v>
      </c>
      <c r="F641" s="22">
        <f>F642</f>
        <v>4395</v>
      </c>
      <c r="G641" s="22">
        <f t="shared" si="230"/>
        <v>4395</v>
      </c>
    </row>
    <row r="642" spans="1:7" ht="12.75">
      <c r="A642" s="265" t="s">
        <v>10</v>
      </c>
      <c r="B642" s="265" t="s">
        <v>54</v>
      </c>
      <c r="C642" s="265">
        <v>1120120010</v>
      </c>
      <c r="D642" s="265">
        <v>610</v>
      </c>
      <c r="E642" s="256" t="s">
        <v>106</v>
      </c>
      <c r="F642" s="22">
        <v>4395</v>
      </c>
      <c r="G642" s="22">
        <v>4395</v>
      </c>
    </row>
    <row r="643" spans="1:7" ht="31.5">
      <c r="A643" s="265" t="s">
        <v>10</v>
      </c>
      <c r="B643" s="265" t="s">
        <v>54</v>
      </c>
      <c r="C643" s="265">
        <v>1130000000</v>
      </c>
      <c r="D643" s="265"/>
      <c r="E643" s="256" t="s">
        <v>117</v>
      </c>
      <c r="F643" s="22">
        <f>F644</f>
        <v>121.3</v>
      </c>
      <c r="G643" s="22">
        <f aca="true" t="shared" si="231" ref="G643">G644</f>
        <v>0</v>
      </c>
    </row>
    <row r="644" spans="1:7" ht="31.5">
      <c r="A644" s="265" t="s">
        <v>10</v>
      </c>
      <c r="B644" s="265" t="s">
        <v>54</v>
      </c>
      <c r="C644" s="265">
        <v>1130100000</v>
      </c>
      <c r="D644" s="265"/>
      <c r="E644" s="256" t="s">
        <v>240</v>
      </c>
      <c r="F644" s="22">
        <f>F645</f>
        <v>121.3</v>
      </c>
      <c r="G644" s="22">
        <f>G645</f>
        <v>0</v>
      </c>
    </row>
    <row r="645" spans="1:7" ht="31.5">
      <c r="A645" s="265" t="s">
        <v>10</v>
      </c>
      <c r="B645" s="265" t="s">
        <v>54</v>
      </c>
      <c r="C645" s="265">
        <v>1130111080</v>
      </c>
      <c r="D645" s="265"/>
      <c r="E645" s="256" t="s">
        <v>306</v>
      </c>
      <c r="F645" s="22">
        <f>F646</f>
        <v>121.3</v>
      </c>
      <c r="G645" s="22">
        <f aca="true" t="shared" si="232" ref="G645:G646">G646</f>
        <v>0</v>
      </c>
    </row>
    <row r="646" spans="1:7" ht="31.5">
      <c r="A646" s="265" t="s">
        <v>10</v>
      </c>
      <c r="B646" s="265" t="s">
        <v>54</v>
      </c>
      <c r="C646" s="265">
        <v>1130111080</v>
      </c>
      <c r="D646" s="265" t="s">
        <v>97</v>
      </c>
      <c r="E646" s="256" t="s">
        <v>98</v>
      </c>
      <c r="F646" s="22">
        <f>F647</f>
        <v>121.3</v>
      </c>
      <c r="G646" s="22">
        <f t="shared" si="232"/>
        <v>0</v>
      </c>
    </row>
    <row r="647" spans="1:7" ht="12.75">
      <c r="A647" s="265" t="s">
        <v>10</v>
      </c>
      <c r="B647" s="265" t="s">
        <v>54</v>
      </c>
      <c r="C647" s="265">
        <v>1130111080</v>
      </c>
      <c r="D647" s="265">
        <v>610</v>
      </c>
      <c r="E647" s="256" t="s">
        <v>106</v>
      </c>
      <c r="F647" s="22">
        <v>121.3</v>
      </c>
      <c r="G647" s="22">
        <v>0</v>
      </c>
    </row>
    <row r="648" spans="1:7" ht="31.5">
      <c r="A648" s="2" t="s">
        <v>10</v>
      </c>
      <c r="B648" s="265" t="s">
        <v>54</v>
      </c>
      <c r="C648" s="265">
        <v>1500000000</v>
      </c>
      <c r="D648" s="265"/>
      <c r="E648" s="73" t="s">
        <v>198</v>
      </c>
      <c r="F648" s="22">
        <f>F649</f>
        <v>317.40000000000003</v>
      </c>
      <c r="G648" s="22">
        <f aca="true" t="shared" si="233" ref="G648:G655">G649</f>
        <v>317.4</v>
      </c>
    </row>
    <row r="649" spans="1:7" ht="31.5">
      <c r="A649" s="2" t="s">
        <v>10</v>
      </c>
      <c r="B649" s="265" t="s">
        <v>54</v>
      </c>
      <c r="C649" s="265">
        <v>1520000000</v>
      </c>
      <c r="D649" s="265"/>
      <c r="E649" s="73" t="s">
        <v>286</v>
      </c>
      <c r="F649" s="22">
        <f>F650</f>
        <v>317.40000000000003</v>
      </c>
      <c r="G649" s="22">
        <f t="shared" si="233"/>
        <v>317.4</v>
      </c>
    </row>
    <row r="650" spans="1:7" ht="63">
      <c r="A650" s="2" t="s">
        <v>10</v>
      </c>
      <c r="B650" s="265" t="s">
        <v>54</v>
      </c>
      <c r="C650" s="265">
        <v>1520100000</v>
      </c>
      <c r="D650" s="265"/>
      <c r="E650" s="73" t="s">
        <v>287</v>
      </c>
      <c r="F650" s="22">
        <f>F654+F651</f>
        <v>317.40000000000003</v>
      </c>
      <c r="G650" s="22">
        <f aca="true" t="shared" si="234" ref="G650">G654+G651</f>
        <v>317.4</v>
      </c>
    </row>
    <row r="651" spans="1:7" ht="37.15" customHeight="1">
      <c r="A651" s="2" t="s">
        <v>10</v>
      </c>
      <c r="B651" s="265" t="s">
        <v>54</v>
      </c>
      <c r="C651" s="265">
        <v>1520110440</v>
      </c>
      <c r="D651" s="265"/>
      <c r="E651" s="256" t="s">
        <v>351</v>
      </c>
      <c r="F651" s="22">
        <f>F652</f>
        <v>158.70000000000002</v>
      </c>
      <c r="G651" s="22">
        <f aca="true" t="shared" si="235" ref="G651:G652">G652</f>
        <v>158.7</v>
      </c>
    </row>
    <row r="652" spans="1:7" ht="31.5">
      <c r="A652" s="265" t="s">
        <v>10</v>
      </c>
      <c r="B652" s="265" t="s">
        <v>54</v>
      </c>
      <c r="C652" s="265">
        <v>1520110440</v>
      </c>
      <c r="D652" s="265" t="s">
        <v>97</v>
      </c>
      <c r="E652" s="256" t="s">
        <v>98</v>
      </c>
      <c r="F652" s="22">
        <f>F653</f>
        <v>158.70000000000002</v>
      </c>
      <c r="G652" s="22">
        <f t="shared" si="235"/>
        <v>158.7</v>
      </c>
    </row>
    <row r="653" spans="1:7" ht="12.75">
      <c r="A653" s="265" t="s">
        <v>10</v>
      </c>
      <c r="B653" s="265" t="s">
        <v>54</v>
      </c>
      <c r="C653" s="265">
        <v>1520110440</v>
      </c>
      <c r="D653" s="265">
        <v>610</v>
      </c>
      <c r="E653" s="256" t="s">
        <v>106</v>
      </c>
      <c r="F653" s="22">
        <f>188.8-30.1</f>
        <v>158.70000000000002</v>
      </c>
      <c r="G653" s="22">
        <v>158.7</v>
      </c>
    </row>
    <row r="654" spans="1:7" ht="31.5">
      <c r="A654" s="2" t="s">
        <v>10</v>
      </c>
      <c r="B654" s="265" t="s">
        <v>54</v>
      </c>
      <c r="C654" s="265" t="s">
        <v>288</v>
      </c>
      <c r="D654" s="265"/>
      <c r="E654" s="256" t="s">
        <v>250</v>
      </c>
      <c r="F654" s="22">
        <f>F655</f>
        <v>158.70000000000002</v>
      </c>
      <c r="G654" s="22">
        <f t="shared" si="233"/>
        <v>158.7</v>
      </c>
    </row>
    <row r="655" spans="1:7" ht="31.5">
      <c r="A655" s="265" t="s">
        <v>10</v>
      </c>
      <c r="B655" s="265" t="s">
        <v>54</v>
      </c>
      <c r="C655" s="10" t="s">
        <v>288</v>
      </c>
      <c r="D655" s="265" t="s">
        <v>97</v>
      </c>
      <c r="E655" s="256" t="s">
        <v>98</v>
      </c>
      <c r="F655" s="22">
        <f>F656</f>
        <v>158.70000000000002</v>
      </c>
      <c r="G655" s="22">
        <f t="shared" si="233"/>
        <v>158.7</v>
      </c>
    </row>
    <row r="656" spans="1:7" ht="12.75">
      <c r="A656" s="265" t="s">
        <v>10</v>
      </c>
      <c r="B656" s="265" t="s">
        <v>54</v>
      </c>
      <c r="C656" s="10" t="s">
        <v>288</v>
      </c>
      <c r="D656" s="265">
        <v>610</v>
      </c>
      <c r="E656" s="256" t="s">
        <v>106</v>
      </c>
      <c r="F656" s="22">
        <f>175.1+13.8-30.2</f>
        <v>158.70000000000002</v>
      </c>
      <c r="G656" s="22">
        <v>158.7</v>
      </c>
    </row>
    <row r="657" spans="1:7" ht="12.75">
      <c r="A657" s="265" t="s">
        <v>10</v>
      </c>
      <c r="B657" s="265" t="s">
        <v>54</v>
      </c>
      <c r="C657" s="265">
        <v>9900000000</v>
      </c>
      <c r="D657" s="265"/>
      <c r="E657" s="73" t="s">
        <v>107</v>
      </c>
      <c r="F657" s="22">
        <f>F658</f>
        <v>50</v>
      </c>
      <c r="G657" s="22">
        <f aca="true" t="shared" si="236" ref="G657:G660">G658</f>
        <v>50</v>
      </c>
    </row>
    <row r="658" spans="1:7" ht="47.25">
      <c r="A658" s="265" t="s">
        <v>10</v>
      </c>
      <c r="B658" s="265" t="s">
        <v>54</v>
      </c>
      <c r="C658" s="265">
        <v>9920000000</v>
      </c>
      <c r="D658" s="265"/>
      <c r="E658" s="73" t="s">
        <v>381</v>
      </c>
      <c r="F658" s="22">
        <f>F659</f>
        <v>50</v>
      </c>
      <c r="G658" s="22">
        <f t="shared" si="236"/>
        <v>50</v>
      </c>
    </row>
    <row r="659" spans="1:7" ht="31.5">
      <c r="A659" s="265" t="s">
        <v>10</v>
      </c>
      <c r="B659" s="265" t="s">
        <v>54</v>
      </c>
      <c r="C659" s="265">
        <v>9920010920</v>
      </c>
      <c r="D659" s="265"/>
      <c r="E659" s="73" t="s">
        <v>382</v>
      </c>
      <c r="F659" s="22">
        <f>F660</f>
        <v>50</v>
      </c>
      <c r="G659" s="22">
        <f t="shared" si="236"/>
        <v>50</v>
      </c>
    </row>
    <row r="660" spans="1:7" ht="31.5">
      <c r="A660" s="2" t="s">
        <v>10</v>
      </c>
      <c r="B660" s="265" t="s">
        <v>54</v>
      </c>
      <c r="C660" s="265">
        <v>9920010920</v>
      </c>
      <c r="D660" s="265" t="s">
        <v>97</v>
      </c>
      <c r="E660" s="73" t="s">
        <v>98</v>
      </c>
      <c r="F660" s="22">
        <f>F661</f>
        <v>50</v>
      </c>
      <c r="G660" s="22">
        <f t="shared" si="236"/>
        <v>50</v>
      </c>
    </row>
    <row r="661" spans="1:7" ht="12.75">
      <c r="A661" s="2" t="s">
        <v>10</v>
      </c>
      <c r="B661" s="265" t="s">
        <v>54</v>
      </c>
      <c r="C661" s="265">
        <v>9920010920</v>
      </c>
      <c r="D661" s="265">
        <v>610</v>
      </c>
      <c r="E661" s="73" t="s">
        <v>106</v>
      </c>
      <c r="F661" s="22">
        <v>50</v>
      </c>
      <c r="G661" s="22">
        <v>50</v>
      </c>
    </row>
    <row r="662" spans="1:7" ht="12.75">
      <c r="A662" s="265" t="s">
        <v>10</v>
      </c>
      <c r="B662" s="265" t="s">
        <v>91</v>
      </c>
      <c r="C662" s="265" t="s">
        <v>69</v>
      </c>
      <c r="D662" s="265" t="s">
        <v>69</v>
      </c>
      <c r="E662" s="256" t="s">
        <v>92</v>
      </c>
      <c r="F662" s="22">
        <f>F663+F675</f>
        <v>14402.9</v>
      </c>
      <c r="G662" s="22">
        <f aca="true" t="shared" si="237" ref="G662">G663+G675</f>
        <v>14402.9</v>
      </c>
    </row>
    <row r="663" spans="1:7" ht="31.5">
      <c r="A663" s="265" t="s">
        <v>10</v>
      </c>
      <c r="B663" s="265" t="s">
        <v>91</v>
      </c>
      <c r="C663" s="265">
        <v>1100000000</v>
      </c>
      <c r="D663" s="265"/>
      <c r="E663" s="256" t="s">
        <v>202</v>
      </c>
      <c r="F663" s="22">
        <f aca="true" t="shared" si="238" ref="F663:G670">F664</f>
        <v>14308.9</v>
      </c>
      <c r="G663" s="22">
        <f t="shared" si="238"/>
        <v>14308.9</v>
      </c>
    </row>
    <row r="664" spans="1:7" ht="12.75">
      <c r="A664" s="265" t="s">
        <v>10</v>
      </c>
      <c r="B664" s="265" t="s">
        <v>91</v>
      </c>
      <c r="C664" s="265">
        <v>1120000000</v>
      </c>
      <c r="D664" s="265"/>
      <c r="E664" s="256" t="s">
        <v>124</v>
      </c>
      <c r="F664" s="22">
        <f>F665</f>
        <v>14308.9</v>
      </c>
      <c r="G664" s="22">
        <f t="shared" si="238"/>
        <v>14308.9</v>
      </c>
    </row>
    <row r="665" spans="1:7" ht="47.25">
      <c r="A665" s="2" t="s">
        <v>10</v>
      </c>
      <c r="B665" s="265" t="s">
        <v>91</v>
      </c>
      <c r="C665" s="265">
        <v>1120100000</v>
      </c>
      <c r="D665" s="265"/>
      <c r="E665" s="256" t="s">
        <v>125</v>
      </c>
      <c r="F665" s="22">
        <f>F669+F666+F672</f>
        <v>14308.9</v>
      </c>
      <c r="G665" s="22">
        <f aca="true" t="shared" si="239" ref="G665">G669+G666+G672</f>
        <v>14308.9</v>
      </c>
    </row>
    <row r="666" spans="1:7" ht="47.25">
      <c r="A666" s="265" t="s">
        <v>10</v>
      </c>
      <c r="B666" s="265" t="s">
        <v>91</v>
      </c>
      <c r="C666" s="265">
        <v>1120110690</v>
      </c>
      <c r="D666" s="265"/>
      <c r="E666" s="73" t="s">
        <v>298</v>
      </c>
      <c r="F666" s="22">
        <f>F667</f>
        <v>5677.4</v>
      </c>
      <c r="G666" s="22">
        <f aca="true" t="shared" si="240" ref="G666:G667">G667</f>
        <v>5677.4</v>
      </c>
    </row>
    <row r="667" spans="1:7" ht="31.5">
      <c r="A667" s="265" t="s">
        <v>10</v>
      </c>
      <c r="B667" s="265" t="s">
        <v>91</v>
      </c>
      <c r="C667" s="265">
        <v>1120110690</v>
      </c>
      <c r="D667" s="265" t="s">
        <v>97</v>
      </c>
      <c r="E667" s="73" t="s">
        <v>98</v>
      </c>
      <c r="F667" s="22">
        <f>F668</f>
        <v>5677.4</v>
      </c>
      <c r="G667" s="22">
        <f t="shared" si="240"/>
        <v>5677.4</v>
      </c>
    </row>
    <row r="668" spans="1:7" ht="12.75">
      <c r="A668" s="2" t="s">
        <v>10</v>
      </c>
      <c r="B668" s="265" t="s">
        <v>91</v>
      </c>
      <c r="C668" s="265">
        <v>1120110690</v>
      </c>
      <c r="D668" s="265">
        <v>610</v>
      </c>
      <c r="E668" s="73" t="s">
        <v>106</v>
      </c>
      <c r="F668" s="22">
        <v>5677.4</v>
      </c>
      <c r="G668" s="22">
        <v>5677.4</v>
      </c>
    </row>
    <row r="669" spans="1:7" ht="31.5">
      <c r="A669" s="2" t="s">
        <v>10</v>
      </c>
      <c r="B669" s="265" t="s">
        <v>91</v>
      </c>
      <c r="C669" s="265">
        <v>1120120010</v>
      </c>
      <c r="D669" s="265"/>
      <c r="E669" s="256" t="s">
        <v>126</v>
      </c>
      <c r="F669" s="22">
        <f t="shared" si="238"/>
        <v>8574.7</v>
      </c>
      <c r="G669" s="22">
        <f t="shared" si="238"/>
        <v>8574.7</v>
      </c>
    </row>
    <row r="670" spans="1:7" ht="31.5">
      <c r="A670" s="2" t="s">
        <v>10</v>
      </c>
      <c r="B670" s="265" t="s">
        <v>91</v>
      </c>
      <c r="C670" s="265">
        <v>1120120010</v>
      </c>
      <c r="D670" s="265" t="s">
        <v>97</v>
      </c>
      <c r="E670" s="256" t="s">
        <v>98</v>
      </c>
      <c r="F670" s="22">
        <f t="shared" si="238"/>
        <v>8574.7</v>
      </c>
      <c r="G670" s="22">
        <f t="shared" si="238"/>
        <v>8574.7</v>
      </c>
    </row>
    <row r="671" spans="1:7" ht="12.75">
      <c r="A671" s="265" t="s">
        <v>10</v>
      </c>
      <c r="B671" s="265" t="s">
        <v>91</v>
      </c>
      <c r="C671" s="265">
        <v>1120120010</v>
      </c>
      <c r="D671" s="265">
        <v>610</v>
      </c>
      <c r="E671" s="256" t="s">
        <v>106</v>
      </c>
      <c r="F671" s="22">
        <f>8725.5-56.8-94</f>
        <v>8574.7</v>
      </c>
      <c r="G671" s="22">
        <v>8574.7</v>
      </c>
    </row>
    <row r="672" spans="1:7" ht="47.25">
      <c r="A672" s="265" t="s">
        <v>10</v>
      </c>
      <c r="B672" s="265" t="s">
        <v>91</v>
      </c>
      <c r="C672" s="265" t="s">
        <v>309</v>
      </c>
      <c r="D672" s="265"/>
      <c r="E672" s="73" t="s">
        <v>310</v>
      </c>
      <c r="F672" s="22">
        <f>F673</f>
        <v>56.8</v>
      </c>
      <c r="G672" s="22">
        <f aca="true" t="shared" si="241" ref="G672:G673">G673</f>
        <v>56.8</v>
      </c>
    </row>
    <row r="673" spans="1:7" ht="31.5">
      <c r="A673" s="2" t="s">
        <v>10</v>
      </c>
      <c r="B673" s="265" t="s">
        <v>91</v>
      </c>
      <c r="C673" s="265" t="s">
        <v>309</v>
      </c>
      <c r="D673" s="265" t="s">
        <v>97</v>
      </c>
      <c r="E673" s="73" t="s">
        <v>98</v>
      </c>
      <c r="F673" s="22">
        <f>F674</f>
        <v>56.8</v>
      </c>
      <c r="G673" s="22">
        <f t="shared" si="241"/>
        <v>56.8</v>
      </c>
    </row>
    <row r="674" spans="1:7" ht="12.75">
      <c r="A674" s="2" t="s">
        <v>10</v>
      </c>
      <c r="B674" s="265" t="s">
        <v>91</v>
      </c>
      <c r="C674" s="265" t="s">
        <v>309</v>
      </c>
      <c r="D674" s="265">
        <v>610</v>
      </c>
      <c r="E674" s="73" t="s">
        <v>106</v>
      </c>
      <c r="F674" s="22">
        <v>56.8</v>
      </c>
      <c r="G674" s="22">
        <v>56.8</v>
      </c>
    </row>
    <row r="675" spans="1:7" ht="31.5">
      <c r="A675" s="265" t="s">
        <v>10</v>
      </c>
      <c r="B675" s="265" t="s">
        <v>91</v>
      </c>
      <c r="C675" s="265">
        <v>1500000000</v>
      </c>
      <c r="D675" s="265"/>
      <c r="E675" s="73" t="s">
        <v>198</v>
      </c>
      <c r="F675" s="22">
        <f>F676</f>
        <v>94</v>
      </c>
      <c r="G675" s="22">
        <f aca="true" t="shared" si="242" ref="G675:G677">G676</f>
        <v>94</v>
      </c>
    </row>
    <row r="676" spans="1:7" ht="31.5">
      <c r="A676" s="2" t="s">
        <v>10</v>
      </c>
      <c r="B676" s="265" t="s">
        <v>91</v>
      </c>
      <c r="C676" s="265">
        <v>1520000000</v>
      </c>
      <c r="D676" s="265"/>
      <c r="E676" s="73" t="s">
        <v>286</v>
      </c>
      <c r="F676" s="22">
        <f>F677</f>
        <v>94</v>
      </c>
      <c r="G676" s="22">
        <f t="shared" si="242"/>
        <v>94</v>
      </c>
    </row>
    <row r="677" spans="1:7" ht="63">
      <c r="A677" s="2" t="s">
        <v>10</v>
      </c>
      <c r="B677" s="265" t="s">
        <v>91</v>
      </c>
      <c r="C677" s="265">
        <v>1520100000</v>
      </c>
      <c r="D677" s="265"/>
      <c r="E677" s="73" t="s">
        <v>287</v>
      </c>
      <c r="F677" s="22">
        <f>F678</f>
        <v>94</v>
      </c>
      <c r="G677" s="22">
        <f t="shared" si="242"/>
        <v>94</v>
      </c>
    </row>
    <row r="678" spans="1:7" ht="31.5">
      <c r="A678" s="265" t="s">
        <v>10</v>
      </c>
      <c r="B678" s="265" t="s">
        <v>91</v>
      </c>
      <c r="C678" s="10" t="s">
        <v>454</v>
      </c>
      <c r="D678" s="265"/>
      <c r="E678" s="73" t="s">
        <v>455</v>
      </c>
      <c r="F678" s="22">
        <f>F679</f>
        <v>94</v>
      </c>
      <c r="G678" s="22">
        <f aca="true" t="shared" si="243" ref="G678:G679">G679</f>
        <v>94</v>
      </c>
    </row>
    <row r="679" spans="1:7" ht="31.5">
      <c r="A679" s="265" t="s">
        <v>10</v>
      </c>
      <c r="B679" s="265" t="s">
        <v>91</v>
      </c>
      <c r="C679" s="10" t="s">
        <v>454</v>
      </c>
      <c r="D679" s="265" t="s">
        <v>97</v>
      </c>
      <c r="E679" s="73" t="s">
        <v>98</v>
      </c>
      <c r="F679" s="22">
        <f>F680</f>
        <v>94</v>
      </c>
      <c r="G679" s="22">
        <f t="shared" si="243"/>
        <v>94</v>
      </c>
    </row>
    <row r="680" spans="1:7" ht="12.75">
      <c r="A680" s="2" t="s">
        <v>10</v>
      </c>
      <c r="B680" s="265" t="s">
        <v>91</v>
      </c>
      <c r="C680" s="10" t="s">
        <v>454</v>
      </c>
      <c r="D680" s="265">
        <v>610</v>
      </c>
      <c r="E680" s="73" t="s">
        <v>106</v>
      </c>
      <c r="F680" s="22">
        <v>94</v>
      </c>
      <c r="G680" s="22">
        <v>94</v>
      </c>
    </row>
    <row r="681" spans="1:7" ht="12.75">
      <c r="A681" s="265" t="s">
        <v>10</v>
      </c>
      <c r="B681" s="265" t="s">
        <v>40</v>
      </c>
      <c r="C681" s="265" t="s">
        <v>69</v>
      </c>
      <c r="D681" s="265" t="s">
        <v>69</v>
      </c>
      <c r="E681" s="256" t="s">
        <v>99</v>
      </c>
      <c r="F681" s="22">
        <f aca="true" t="shared" si="244" ref="F681:G686">F682</f>
        <v>229.89999999999998</v>
      </c>
      <c r="G681" s="22">
        <f t="shared" si="244"/>
        <v>229.9</v>
      </c>
    </row>
    <row r="682" spans="1:7" ht="31.5">
      <c r="A682" s="265" t="s">
        <v>10</v>
      </c>
      <c r="B682" s="265" t="s">
        <v>40</v>
      </c>
      <c r="C682" s="265">
        <v>1100000000</v>
      </c>
      <c r="D682" s="265"/>
      <c r="E682" s="256" t="s">
        <v>202</v>
      </c>
      <c r="F682" s="22">
        <f t="shared" si="244"/>
        <v>229.89999999999998</v>
      </c>
      <c r="G682" s="22">
        <f t="shared" si="244"/>
        <v>229.9</v>
      </c>
    </row>
    <row r="683" spans="1:7" ht="12.75">
      <c r="A683" s="265" t="s">
        <v>10</v>
      </c>
      <c r="B683" s="265" t="s">
        <v>40</v>
      </c>
      <c r="C683" s="265">
        <v>1110000000</v>
      </c>
      <c r="D683" s="265"/>
      <c r="E683" s="256" t="s">
        <v>183</v>
      </c>
      <c r="F683" s="22">
        <f t="shared" si="244"/>
        <v>229.89999999999998</v>
      </c>
      <c r="G683" s="22">
        <f t="shared" si="244"/>
        <v>229.9</v>
      </c>
    </row>
    <row r="684" spans="1:7" ht="12.75">
      <c r="A684" s="265" t="s">
        <v>10</v>
      </c>
      <c r="B684" s="265" t="s">
        <v>40</v>
      </c>
      <c r="C684" s="265">
        <v>1110400000</v>
      </c>
      <c r="D684" s="265"/>
      <c r="E684" s="256" t="s">
        <v>191</v>
      </c>
      <c r="F684" s="22">
        <f>F685</f>
        <v>229.89999999999998</v>
      </c>
      <c r="G684" s="22">
        <f>G685</f>
        <v>229.9</v>
      </c>
    </row>
    <row r="685" spans="1:7" ht="31.5">
      <c r="A685" s="265" t="s">
        <v>10</v>
      </c>
      <c r="B685" s="265" t="s">
        <v>40</v>
      </c>
      <c r="C685" s="265" t="s">
        <v>193</v>
      </c>
      <c r="D685" s="265"/>
      <c r="E685" s="256" t="s">
        <v>192</v>
      </c>
      <c r="F685" s="22">
        <f t="shared" si="244"/>
        <v>229.89999999999998</v>
      </c>
      <c r="G685" s="22">
        <f t="shared" si="244"/>
        <v>229.9</v>
      </c>
    </row>
    <row r="686" spans="1:7" ht="12.75">
      <c r="A686" s="265" t="s">
        <v>10</v>
      </c>
      <c r="B686" s="265" t="s">
        <v>40</v>
      </c>
      <c r="C686" s="265" t="s">
        <v>193</v>
      </c>
      <c r="D686" s="2" t="s">
        <v>76</v>
      </c>
      <c r="E686" s="60" t="s">
        <v>77</v>
      </c>
      <c r="F686" s="22">
        <f t="shared" si="244"/>
        <v>229.89999999999998</v>
      </c>
      <c r="G686" s="22">
        <f t="shared" si="244"/>
        <v>229.9</v>
      </c>
    </row>
    <row r="687" spans="1:7" ht="31.5">
      <c r="A687" s="265" t="s">
        <v>10</v>
      </c>
      <c r="B687" s="265" t="s">
        <v>40</v>
      </c>
      <c r="C687" s="265" t="s">
        <v>193</v>
      </c>
      <c r="D687" s="265">
        <v>320</v>
      </c>
      <c r="E687" s="256" t="s">
        <v>104</v>
      </c>
      <c r="F687" s="22">
        <f>169+211.2-130-20.3</f>
        <v>229.89999999999998</v>
      </c>
      <c r="G687" s="22">
        <v>229.9</v>
      </c>
    </row>
    <row r="688" spans="1:7" ht="12.75">
      <c r="A688" s="265" t="s">
        <v>10</v>
      </c>
      <c r="B688" s="265" t="s">
        <v>55</v>
      </c>
      <c r="C688" s="265" t="s">
        <v>69</v>
      </c>
      <c r="D688" s="265" t="s">
        <v>69</v>
      </c>
      <c r="E688" s="256" t="s">
        <v>13</v>
      </c>
      <c r="F688" s="22">
        <f>F689+F699</f>
        <v>6164.299999999999</v>
      </c>
      <c r="G688" s="22">
        <f>G689+G699</f>
        <v>6164.3</v>
      </c>
    </row>
    <row r="689" spans="1:7" ht="31.5">
      <c r="A689" s="265" t="s">
        <v>10</v>
      </c>
      <c r="B689" s="265" t="s">
        <v>55</v>
      </c>
      <c r="C689" s="265">
        <v>1100000000</v>
      </c>
      <c r="D689" s="265"/>
      <c r="E689" s="256" t="s">
        <v>202</v>
      </c>
      <c r="F689" s="22">
        <f>F690</f>
        <v>179</v>
      </c>
      <c r="G689" s="22">
        <f aca="true" t="shared" si="245" ref="G689:G697">G690</f>
        <v>179</v>
      </c>
    </row>
    <row r="690" spans="1:7" ht="31.5">
      <c r="A690" s="265" t="s">
        <v>10</v>
      </c>
      <c r="B690" s="265" t="s">
        <v>55</v>
      </c>
      <c r="C690" s="265">
        <v>1130000000</v>
      </c>
      <c r="D690" s="73"/>
      <c r="E690" s="256" t="s">
        <v>117</v>
      </c>
      <c r="F690" s="22">
        <f>F695+F691</f>
        <v>179</v>
      </c>
      <c r="G690" s="22">
        <f aca="true" t="shared" si="246" ref="G690">G695+G691</f>
        <v>179</v>
      </c>
    </row>
    <row r="691" spans="1:7" ht="31.5">
      <c r="A691" s="265" t="s">
        <v>10</v>
      </c>
      <c r="B691" s="265" t="s">
        <v>55</v>
      </c>
      <c r="C691" s="265">
        <v>1130100000</v>
      </c>
      <c r="D691" s="73"/>
      <c r="E691" s="256" t="s">
        <v>240</v>
      </c>
      <c r="F691" s="22">
        <f>F692</f>
        <v>110.60000000000001</v>
      </c>
      <c r="G691" s="22">
        <f aca="true" t="shared" si="247" ref="G691:G693">G692</f>
        <v>110.6</v>
      </c>
    </row>
    <row r="692" spans="1:7" ht="31.5">
      <c r="A692" s="265" t="s">
        <v>10</v>
      </c>
      <c r="B692" s="265" t="s">
        <v>55</v>
      </c>
      <c r="C692" s="265">
        <v>1130120260</v>
      </c>
      <c r="D692" s="73"/>
      <c r="E692" s="256" t="s">
        <v>241</v>
      </c>
      <c r="F692" s="22">
        <f>F693</f>
        <v>110.60000000000001</v>
      </c>
      <c r="G692" s="22">
        <f t="shared" si="247"/>
        <v>110.6</v>
      </c>
    </row>
    <row r="693" spans="1:7" ht="31.5">
      <c r="A693" s="265" t="s">
        <v>10</v>
      </c>
      <c r="B693" s="265" t="s">
        <v>55</v>
      </c>
      <c r="C693" s="265">
        <v>1130120260</v>
      </c>
      <c r="D693" s="265" t="s">
        <v>72</v>
      </c>
      <c r="E693" s="256" t="s">
        <v>95</v>
      </c>
      <c r="F693" s="22">
        <f>F694</f>
        <v>110.60000000000001</v>
      </c>
      <c r="G693" s="22">
        <f t="shared" si="247"/>
        <v>110.6</v>
      </c>
    </row>
    <row r="694" spans="1:7" ht="31.5">
      <c r="A694" s="265" t="s">
        <v>10</v>
      </c>
      <c r="B694" s="265" t="s">
        <v>55</v>
      </c>
      <c r="C694" s="265">
        <v>1130120260</v>
      </c>
      <c r="D694" s="265">
        <v>240</v>
      </c>
      <c r="E694" s="256" t="s">
        <v>257</v>
      </c>
      <c r="F694" s="22">
        <f>124.4-13.8</f>
        <v>110.60000000000001</v>
      </c>
      <c r="G694" s="22">
        <v>110.6</v>
      </c>
    </row>
    <row r="695" spans="1:7" ht="31.5">
      <c r="A695" s="265" t="s">
        <v>10</v>
      </c>
      <c r="B695" s="265" t="s">
        <v>55</v>
      </c>
      <c r="C695" s="265">
        <v>1130200000</v>
      </c>
      <c r="D695" s="265"/>
      <c r="E695" s="256" t="s">
        <v>194</v>
      </c>
      <c r="F695" s="22">
        <f>F696</f>
        <v>68.39999999999999</v>
      </c>
      <c r="G695" s="22">
        <f t="shared" si="245"/>
        <v>68.4</v>
      </c>
    </row>
    <row r="696" spans="1:7" ht="31.5">
      <c r="A696" s="265" t="s">
        <v>10</v>
      </c>
      <c r="B696" s="265" t="s">
        <v>55</v>
      </c>
      <c r="C696" s="265">
        <v>1130220270</v>
      </c>
      <c r="D696" s="265"/>
      <c r="E696" s="256" t="s">
        <v>195</v>
      </c>
      <c r="F696" s="22">
        <f>F697</f>
        <v>68.39999999999999</v>
      </c>
      <c r="G696" s="22">
        <f t="shared" si="245"/>
        <v>68.4</v>
      </c>
    </row>
    <row r="697" spans="1:7" ht="31.5">
      <c r="A697" s="265" t="s">
        <v>10</v>
      </c>
      <c r="B697" s="265" t="s">
        <v>55</v>
      </c>
      <c r="C697" s="265">
        <v>1130220270</v>
      </c>
      <c r="D697" s="265" t="s">
        <v>72</v>
      </c>
      <c r="E697" s="256" t="s">
        <v>95</v>
      </c>
      <c r="F697" s="22">
        <f>F698</f>
        <v>68.39999999999999</v>
      </c>
      <c r="G697" s="22">
        <f t="shared" si="245"/>
        <v>68.4</v>
      </c>
    </row>
    <row r="698" spans="1:7" ht="31.5">
      <c r="A698" s="265" t="s">
        <v>10</v>
      </c>
      <c r="B698" s="265" t="s">
        <v>55</v>
      </c>
      <c r="C698" s="265">
        <v>1130220270</v>
      </c>
      <c r="D698" s="265">
        <v>240</v>
      </c>
      <c r="E698" s="256" t="s">
        <v>257</v>
      </c>
      <c r="F698" s="22">
        <f>193.6-125.2</f>
        <v>68.39999999999999</v>
      </c>
      <c r="G698" s="22">
        <v>68.4</v>
      </c>
    </row>
    <row r="699" spans="1:7" ht="12.75">
      <c r="A699" s="265" t="s">
        <v>10</v>
      </c>
      <c r="B699" s="265" t="s">
        <v>55</v>
      </c>
      <c r="C699" s="265">
        <v>9900000000</v>
      </c>
      <c r="D699" s="265"/>
      <c r="E699" s="256" t="s">
        <v>107</v>
      </c>
      <c r="F699" s="22">
        <f>F700</f>
        <v>5985.299999999999</v>
      </c>
      <c r="G699" s="22">
        <f aca="true" t="shared" si="248" ref="G699:G700">G700</f>
        <v>5985.3</v>
      </c>
    </row>
    <row r="700" spans="1:7" ht="31.5">
      <c r="A700" s="265" t="s">
        <v>10</v>
      </c>
      <c r="B700" s="265" t="s">
        <v>55</v>
      </c>
      <c r="C700" s="265">
        <v>9990000000</v>
      </c>
      <c r="D700" s="265"/>
      <c r="E700" s="256" t="s">
        <v>160</v>
      </c>
      <c r="F700" s="22">
        <f>F701</f>
        <v>5985.299999999999</v>
      </c>
      <c r="G700" s="22">
        <f t="shared" si="248"/>
        <v>5985.3</v>
      </c>
    </row>
    <row r="701" spans="1:7" ht="31.5">
      <c r="A701" s="265" t="s">
        <v>10</v>
      </c>
      <c r="B701" s="265" t="s">
        <v>55</v>
      </c>
      <c r="C701" s="265">
        <v>9990200000</v>
      </c>
      <c r="D701" s="73"/>
      <c r="E701" s="256" t="s">
        <v>120</v>
      </c>
      <c r="F701" s="22">
        <f>F702</f>
        <v>5985.299999999999</v>
      </c>
      <c r="G701" s="22">
        <f aca="true" t="shared" si="249" ref="G701">G702</f>
        <v>5985.3</v>
      </c>
    </row>
    <row r="702" spans="1:7" ht="47.25">
      <c r="A702" s="265" t="s">
        <v>10</v>
      </c>
      <c r="B702" s="265" t="s">
        <v>55</v>
      </c>
      <c r="C702" s="265">
        <v>9990225000</v>
      </c>
      <c r="D702" s="265"/>
      <c r="E702" s="256" t="s">
        <v>121</v>
      </c>
      <c r="F702" s="22">
        <f>F703+F705</f>
        <v>5985.299999999999</v>
      </c>
      <c r="G702" s="22">
        <f aca="true" t="shared" si="250" ref="G702">G703+G705</f>
        <v>5985.3</v>
      </c>
    </row>
    <row r="703" spans="1:7" ht="54" customHeight="1">
      <c r="A703" s="265" t="s">
        <v>10</v>
      </c>
      <c r="B703" s="265" t="s">
        <v>55</v>
      </c>
      <c r="C703" s="265">
        <v>9990225000</v>
      </c>
      <c r="D703" s="265" t="s">
        <v>71</v>
      </c>
      <c r="E703" s="256" t="s">
        <v>1</v>
      </c>
      <c r="F703" s="22">
        <f>F704</f>
        <v>5961.099999999999</v>
      </c>
      <c r="G703" s="22">
        <f aca="true" t="shared" si="251" ref="G703">G704</f>
        <v>5961.1</v>
      </c>
    </row>
    <row r="704" spans="1:7" ht="31.5">
      <c r="A704" s="265" t="s">
        <v>10</v>
      </c>
      <c r="B704" s="265" t="s">
        <v>55</v>
      </c>
      <c r="C704" s="265">
        <v>9990225000</v>
      </c>
      <c r="D704" s="265">
        <v>120</v>
      </c>
      <c r="E704" s="256" t="s">
        <v>258</v>
      </c>
      <c r="F704" s="22">
        <f>6029.2-68.1</f>
        <v>5961.099999999999</v>
      </c>
      <c r="G704" s="22">
        <v>5961.1</v>
      </c>
    </row>
    <row r="705" spans="1:7" ht="12.75">
      <c r="A705" s="265" t="s">
        <v>10</v>
      </c>
      <c r="B705" s="265" t="s">
        <v>55</v>
      </c>
      <c r="C705" s="265">
        <v>9990225000</v>
      </c>
      <c r="D705" s="265" t="s">
        <v>73</v>
      </c>
      <c r="E705" s="256" t="s">
        <v>74</v>
      </c>
      <c r="F705" s="22">
        <f>F706</f>
        <v>24.199999999999996</v>
      </c>
      <c r="G705" s="22">
        <f aca="true" t="shared" si="252" ref="G705">G706</f>
        <v>24.2</v>
      </c>
    </row>
    <row r="706" spans="1:7" ht="12.75">
      <c r="A706" s="265" t="s">
        <v>10</v>
      </c>
      <c r="B706" s="265" t="s">
        <v>55</v>
      </c>
      <c r="C706" s="265">
        <v>9990225000</v>
      </c>
      <c r="D706" s="265">
        <v>850</v>
      </c>
      <c r="E706" s="256" t="s">
        <v>102</v>
      </c>
      <c r="F706" s="22">
        <f>74.8-50.6</f>
        <v>24.199999999999996</v>
      </c>
      <c r="G706" s="22">
        <v>24.2</v>
      </c>
    </row>
    <row r="707" spans="1:7" ht="12.75">
      <c r="A707" s="265" t="s">
        <v>10</v>
      </c>
      <c r="B707" s="265" t="s">
        <v>41</v>
      </c>
      <c r="C707" s="265" t="s">
        <v>69</v>
      </c>
      <c r="D707" s="265" t="s">
        <v>69</v>
      </c>
      <c r="E707" s="256" t="s">
        <v>33</v>
      </c>
      <c r="F707" s="22">
        <f>F708</f>
        <v>9588.3</v>
      </c>
      <c r="G707" s="22">
        <f aca="true" t="shared" si="253" ref="G707:G711">G708</f>
        <v>7300</v>
      </c>
    </row>
    <row r="708" spans="1:7" ht="12.75">
      <c r="A708" s="265" t="s">
        <v>10</v>
      </c>
      <c r="B708" s="265" t="s">
        <v>87</v>
      </c>
      <c r="C708" s="265" t="s">
        <v>69</v>
      </c>
      <c r="D708" s="265" t="s">
        <v>69</v>
      </c>
      <c r="E708" s="256" t="s">
        <v>88</v>
      </c>
      <c r="F708" s="22">
        <f>F709</f>
        <v>9588.3</v>
      </c>
      <c r="G708" s="22">
        <f t="shared" si="253"/>
        <v>7300</v>
      </c>
    </row>
    <row r="709" spans="1:7" ht="31.5">
      <c r="A709" s="265" t="s">
        <v>10</v>
      </c>
      <c r="B709" s="265" t="s">
        <v>87</v>
      </c>
      <c r="C709" s="265">
        <v>1100000000</v>
      </c>
      <c r="D709" s="265"/>
      <c r="E709" s="256" t="s">
        <v>202</v>
      </c>
      <c r="F709" s="22">
        <f>F710</f>
        <v>9588.3</v>
      </c>
      <c r="G709" s="22">
        <f t="shared" si="253"/>
        <v>7300</v>
      </c>
    </row>
    <row r="710" spans="1:7" ht="12.75">
      <c r="A710" s="265" t="s">
        <v>10</v>
      </c>
      <c r="B710" s="265" t="s">
        <v>87</v>
      </c>
      <c r="C710" s="265">
        <v>1110000000</v>
      </c>
      <c r="D710" s="265"/>
      <c r="E710" s="256" t="s">
        <v>183</v>
      </c>
      <c r="F710" s="22">
        <f>F711</f>
        <v>9588.3</v>
      </c>
      <c r="G710" s="22">
        <f t="shared" si="253"/>
        <v>7300</v>
      </c>
    </row>
    <row r="711" spans="1:7" ht="47.25">
      <c r="A711" s="265" t="s">
        <v>10</v>
      </c>
      <c r="B711" s="265" t="s">
        <v>87</v>
      </c>
      <c r="C711" s="265">
        <v>1110200000</v>
      </c>
      <c r="D711" s="265"/>
      <c r="E711" s="256" t="s">
        <v>196</v>
      </c>
      <c r="F711" s="22">
        <f>F712</f>
        <v>9588.3</v>
      </c>
      <c r="G711" s="22">
        <f t="shared" si="253"/>
        <v>7300</v>
      </c>
    </row>
    <row r="712" spans="1:7" ht="78.75">
      <c r="A712" s="265" t="s">
        <v>10</v>
      </c>
      <c r="B712" s="265" t="s">
        <v>87</v>
      </c>
      <c r="C712" s="265">
        <v>1110210500</v>
      </c>
      <c r="D712" s="265"/>
      <c r="E712" s="256" t="s">
        <v>249</v>
      </c>
      <c r="F712" s="22">
        <f>F713+F715</f>
        <v>9588.3</v>
      </c>
      <c r="G712" s="22">
        <f aca="true" t="shared" si="254" ref="G712">G713+G715</f>
        <v>7300</v>
      </c>
    </row>
    <row r="713" spans="1:7" ht="31.5">
      <c r="A713" s="265" t="s">
        <v>10</v>
      </c>
      <c r="B713" s="265" t="s">
        <v>87</v>
      </c>
      <c r="C713" s="265">
        <v>1110210500</v>
      </c>
      <c r="D713" s="265" t="s">
        <v>72</v>
      </c>
      <c r="E713" s="256" t="s">
        <v>95</v>
      </c>
      <c r="F713" s="22">
        <f>F714</f>
        <v>233.9</v>
      </c>
      <c r="G713" s="22">
        <f aca="true" t="shared" si="255" ref="G713">G714</f>
        <v>170.6</v>
      </c>
    </row>
    <row r="714" spans="1:7" ht="31.5">
      <c r="A714" s="265" t="s">
        <v>10</v>
      </c>
      <c r="B714" s="265" t="s">
        <v>87</v>
      </c>
      <c r="C714" s="265">
        <v>1110210500</v>
      </c>
      <c r="D714" s="265">
        <v>240</v>
      </c>
      <c r="E714" s="256" t="s">
        <v>257</v>
      </c>
      <c r="F714" s="22">
        <v>233.9</v>
      </c>
      <c r="G714" s="22">
        <v>170.6</v>
      </c>
    </row>
    <row r="715" spans="1:7" ht="12.75">
      <c r="A715" s="265" t="s">
        <v>10</v>
      </c>
      <c r="B715" s="265" t="s">
        <v>87</v>
      </c>
      <c r="C715" s="265">
        <v>1110210500</v>
      </c>
      <c r="D715" s="265" t="s">
        <v>76</v>
      </c>
      <c r="E715" s="256" t="s">
        <v>77</v>
      </c>
      <c r="F715" s="22">
        <f>F716</f>
        <v>9354.4</v>
      </c>
      <c r="G715" s="22">
        <f aca="true" t="shared" si="256" ref="G715">G716</f>
        <v>7129.4</v>
      </c>
    </row>
    <row r="716" spans="1:7" ht="31.5">
      <c r="A716" s="265" t="s">
        <v>10</v>
      </c>
      <c r="B716" s="265" t="s">
        <v>87</v>
      </c>
      <c r="C716" s="265">
        <v>1110210500</v>
      </c>
      <c r="D716" s="2" t="s">
        <v>103</v>
      </c>
      <c r="E716" s="60" t="s">
        <v>104</v>
      </c>
      <c r="F716" s="22">
        <v>9354.4</v>
      </c>
      <c r="G716" s="22">
        <v>7129.4</v>
      </c>
    </row>
  </sheetData>
  <mergeCells count="2">
    <mergeCell ref="A2:G2"/>
    <mergeCell ref="E1:G1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70"/>
  <sheetViews>
    <sheetView view="pageBreakPreview" zoomScale="60" workbookViewId="0" topLeftCell="A1">
      <selection activeCell="A1" sqref="A1:F1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9.375" style="65" customWidth="1"/>
    <col min="5" max="5" width="13.75390625" style="21" customWidth="1"/>
    <col min="6" max="6" width="11.625" style="21" customWidth="1"/>
    <col min="7" max="7" width="8.875" style="3" customWidth="1"/>
    <col min="8" max="8" width="13.875" style="30" bestFit="1" customWidth="1"/>
    <col min="9" max="9" width="10.375" style="30" bestFit="1" customWidth="1"/>
    <col min="10" max="10" width="12.875" style="30" customWidth="1"/>
    <col min="11" max="16384" width="8.875" style="3" customWidth="1"/>
  </cols>
  <sheetData>
    <row r="1" spans="1:6" ht="60" customHeight="1">
      <c r="A1" s="423" t="s">
        <v>1061</v>
      </c>
      <c r="B1" s="423"/>
      <c r="C1" s="423"/>
      <c r="D1" s="423"/>
      <c r="E1" s="423"/>
      <c r="F1" s="423"/>
    </row>
    <row r="2" spans="1:6" ht="72.75" customHeight="1">
      <c r="A2" s="426" t="s">
        <v>473</v>
      </c>
      <c r="B2" s="426"/>
      <c r="C2" s="426"/>
      <c r="D2" s="426"/>
      <c r="E2" s="426"/>
      <c r="F2" s="426"/>
    </row>
    <row r="3" spans="1:6" ht="47.25">
      <c r="A3" s="251" t="s">
        <v>38</v>
      </c>
      <c r="B3" s="251" t="s">
        <v>18</v>
      </c>
      <c r="C3" s="251" t="s">
        <v>19</v>
      </c>
      <c r="D3" s="266" t="s">
        <v>20</v>
      </c>
      <c r="E3" s="262" t="s">
        <v>457</v>
      </c>
      <c r="F3" s="11" t="s">
        <v>458</v>
      </c>
    </row>
    <row r="4" spans="1:6" ht="12.75">
      <c r="A4" s="44" t="s">
        <v>4</v>
      </c>
      <c r="B4" s="44" t="s">
        <v>80</v>
      </c>
      <c r="C4" s="44">
        <v>3</v>
      </c>
      <c r="D4" s="77" t="s">
        <v>82</v>
      </c>
      <c r="E4" s="44" t="s">
        <v>83</v>
      </c>
      <c r="F4" s="44" t="s">
        <v>84</v>
      </c>
    </row>
    <row r="5" spans="1:6" ht="12.75">
      <c r="A5" s="4" t="s">
        <v>69</v>
      </c>
      <c r="B5" s="4" t="s">
        <v>69</v>
      </c>
      <c r="C5" s="4" t="s">
        <v>69</v>
      </c>
      <c r="D5" s="5" t="s">
        <v>0</v>
      </c>
      <c r="E5" s="6">
        <f>E6+E155+E178+E249+E322+E501+E543+E590+E650+E664</f>
        <v>958698.5000000002</v>
      </c>
      <c r="F5" s="6">
        <f>F6+F155+F178+F249+F322+F501+F543+F590+F650+F664</f>
        <v>940575.0000000002</v>
      </c>
    </row>
    <row r="6" spans="1:6" ht="12.75">
      <c r="A6" s="4" t="s">
        <v>57</v>
      </c>
      <c r="B6" s="4" t="s">
        <v>69</v>
      </c>
      <c r="C6" s="4" t="s">
        <v>69</v>
      </c>
      <c r="D6" s="20" t="s">
        <v>22</v>
      </c>
      <c r="E6" s="6">
        <f>E7+E13+E22+E39+E45+E67+E73+E60+E54</f>
        <v>75280.29999999999</v>
      </c>
      <c r="F6" s="6">
        <f>F7+F13+F22+F39+F45+F67+F73+F60+F54</f>
        <v>73470.30000000002</v>
      </c>
    </row>
    <row r="7" spans="1:6" ht="31.5">
      <c r="A7" s="44" t="s">
        <v>45</v>
      </c>
      <c r="B7" s="44" t="s">
        <v>69</v>
      </c>
      <c r="C7" s="44" t="s">
        <v>69</v>
      </c>
      <c r="D7" s="13" t="s">
        <v>62</v>
      </c>
      <c r="E7" s="7">
        <f>E8</f>
        <v>1787.6</v>
      </c>
      <c r="F7" s="7">
        <f aca="true" t="shared" si="0" ref="F7:F11">F8</f>
        <v>1787.6</v>
      </c>
    </row>
    <row r="8" spans="1:6" ht="12.75">
      <c r="A8" s="42" t="s">
        <v>45</v>
      </c>
      <c r="B8" s="42">
        <v>9900000000</v>
      </c>
      <c r="C8" s="42"/>
      <c r="D8" s="63" t="s">
        <v>107</v>
      </c>
      <c r="E8" s="17">
        <f>E9</f>
        <v>1787.6</v>
      </c>
      <c r="F8" s="17">
        <f t="shared" si="0"/>
        <v>1787.6</v>
      </c>
    </row>
    <row r="9" spans="1:6" ht="36.6" customHeight="1">
      <c r="A9" s="42" t="s">
        <v>45</v>
      </c>
      <c r="B9" s="42">
        <v>9990000000</v>
      </c>
      <c r="C9" s="42"/>
      <c r="D9" s="63" t="s">
        <v>160</v>
      </c>
      <c r="E9" s="17">
        <f>E10</f>
        <v>1787.6</v>
      </c>
      <c r="F9" s="17">
        <f t="shared" si="0"/>
        <v>1787.6</v>
      </c>
    </row>
    <row r="10" spans="1:6" ht="12.75">
      <c r="A10" s="42" t="s">
        <v>45</v>
      </c>
      <c r="B10" s="42">
        <v>9990021000</v>
      </c>
      <c r="C10" s="25"/>
      <c r="D10" s="63" t="s">
        <v>161</v>
      </c>
      <c r="E10" s="17">
        <f>E11</f>
        <v>1787.6</v>
      </c>
      <c r="F10" s="17">
        <f t="shared" si="0"/>
        <v>1787.6</v>
      </c>
    </row>
    <row r="11" spans="1:6" ht="63">
      <c r="A11" s="42" t="s">
        <v>45</v>
      </c>
      <c r="B11" s="42">
        <v>9990021000</v>
      </c>
      <c r="C11" s="42" t="s">
        <v>71</v>
      </c>
      <c r="D11" s="63" t="s">
        <v>1</v>
      </c>
      <c r="E11" s="17">
        <f>E12</f>
        <v>1787.6</v>
      </c>
      <c r="F11" s="17">
        <f t="shared" si="0"/>
        <v>1787.6</v>
      </c>
    </row>
    <row r="12" spans="1:6" ht="31.5">
      <c r="A12" s="42" t="s">
        <v>45</v>
      </c>
      <c r="B12" s="42">
        <v>9990021000</v>
      </c>
      <c r="C12" s="42">
        <v>120</v>
      </c>
      <c r="D12" s="63" t="s">
        <v>258</v>
      </c>
      <c r="E12" s="17">
        <f>'№ 6'!F13</f>
        <v>1787.6</v>
      </c>
      <c r="F12" s="17">
        <f>'№ 6'!G13</f>
        <v>1787.6</v>
      </c>
    </row>
    <row r="13" spans="1:6" ht="47.25">
      <c r="A13" s="44" t="s">
        <v>46</v>
      </c>
      <c r="B13" s="44" t="s">
        <v>69</v>
      </c>
      <c r="C13" s="44" t="s">
        <v>69</v>
      </c>
      <c r="D13" s="13" t="s">
        <v>23</v>
      </c>
      <c r="E13" s="7">
        <f>E14</f>
        <v>2790.3</v>
      </c>
      <c r="F13" s="7">
        <f aca="true" t="shared" si="1" ref="F13:F15">F14</f>
        <v>2769.1</v>
      </c>
    </row>
    <row r="14" spans="1:6" ht="12.75">
      <c r="A14" s="42" t="s">
        <v>46</v>
      </c>
      <c r="B14" s="43" t="s">
        <v>112</v>
      </c>
      <c r="C14" s="43" t="s">
        <v>69</v>
      </c>
      <c r="D14" s="57" t="s">
        <v>107</v>
      </c>
      <c r="E14" s="17">
        <f>E15</f>
        <v>2790.3</v>
      </c>
      <c r="F14" s="17">
        <f t="shared" si="1"/>
        <v>2769.1</v>
      </c>
    </row>
    <row r="15" spans="1:6" ht="36" customHeight="1">
      <c r="A15" s="42" t="s">
        <v>46</v>
      </c>
      <c r="B15" s="42">
        <v>9990000000</v>
      </c>
      <c r="C15" s="42"/>
      <c r="D15" s="63" t="s">
        <v>160</v>
      </c>
      <c r="E15" s="17">
        <f>E16</f>
        <v>2790.3</v>
      </c>
      <c r="F15" s="17">
        <f t="shared" si="1"/>
        <v>2769.1</v>
      </c>
    </row>
    <row r="16" spans="1:6" ht="31.5">
      <c r="A16" s="42" t="s">
        <v>46</v>
      </c>
      <c r="B16" s="42">
        <v>9990100000</v>
      </c>
      <c r="C16" s="42"/>
      <c r="D16" s="63" t="s">
        <v>181</v>
      </c>
      <c r="E16" s="17">
        <f>E17</f>
        <v>2790.3</v>
      </c>
      <c r="F16" s="17">
        <f>F17</f>
        <v>2769.1</v>
      </c>
    </row>
    <row r="17" spans="1:6" ht="31.5">
      <c r="A17" s="42" t="s">
        <v>46</v>
      </c>
      <c r="B17" s="42">
        <v>9990123000</v>
      </c>
      <c r="C17" s="42"/>
      <c r="D17" s="63" t="s">
        <v>182</v>
      </c>
      <c r="E17" s="17">
        <f>E18+E20</f>
        <v>2790.3</v>
      </c>
      <c r="F17" s="17">
        <f aca="true" t="shared" si="2" ref="F17">F18+F20</f>
        <v>2769.1</v>
      </c>
    </row>
    <row r="18" spans="1:6" ht="63">
      <c r="A18" s="42" t="s">
        <v>46</v>
      </c>
      <c r="B18" s="42">
        <v>9990123000</v>
      </c>
      <c r="C18" s="42" t="s">
        <v>71</v>
      </c>
      <c r="D18" s="63" t="s">
        <v>1</v>
      </c>
      <c r="E18" s="17">
        <f>E19</f>
        <v>2260.4</v>
      </c>
      <c r="F18" s="17">
        <f aca="true" t="shared" si="3" ref="F18">F19</f>
        <v>2260.4</v>
      </c>
    </row>
    <row r="19" spans="1:6" ht="31.5">
      <c r="A19" s="42" t="s">
        <v>46</v>
      </c>
      <c r="B19" s="42">
        <v>9990123000</v>
      </c>
      <c r="C19" s="42">
        <v>120</v>
      </c>
      <c r="D19" s="63" t="s">
        <v>258</v>
      </c>
      <c r="E19" s="17">
        <f>'№ 6'!F568</f>
        <v>2260.4</v>
      </c>
      <c r="F19" s="17">
        <f>'№ 6'!G568</f>
        <v>2260.4</v>
      </c>
    </row>
    <row r="20" spans="1:6" ht="31.5">
      <c r="A20" s="42" t="s">
        <v>46</v>
      </c>
      <c r="B20" s="42">
        <v>9990123000</v>
      </c>
      <c r="C20" s="55" t="s">
        <v>72</v>
      </c>
      <c r="D20" s="57" t="s">
        <v>95</v>
      </c>
      <c r="E20" s="17">
        <f>E21</f>
        <v>529.9</v>
      </c>
      <c r="F20" s="17">
        <f aca="true" t="shared" si="4" ref="F20">F21</f>
        <v>508.7</v>
      </c>
    </row>
    <row r="21" spans="1:6" ht="31.5">
      <c r="A21" s="42" t="s">
        <v>46</v>
      </c>
      <c r="B21" s="42">
        <v>9990123000</v>
      </c>
      <c r="C21" s="54">
        <v>240</v>
      </c>
      <c r="D21" s="57" t="s">
        <v>257</v>
      </c>
      <c r="E21" s="17">
        <f>'№ 6'!F570</f>
        <v>529.9</v>
      </c>
      <c r="F21" s="17">
        <f>'№ 6'!G570</f>
        <v>508.7</v>
      </c>
    </row>
    <row r="22" spans="1:6" ht="47.25">
      <c r="A22" s="42" t="s">
        <v>47</v>
      </c>
      <c r="B22" s="42" t="s">
        <v>69</v>
      </c>
      <c r="C22" s="42" t="s">
        <v>69</v>
      </c>
      <c r="D22" s="63" t="s">
        <v>24</v>
      </c>
      <c r="E22" s="17">
        <f>E23</f>
        <v>22447.3</v>
      </c>
      <c r="F22" s="17">
        <f aca="true" t="shared" si="5" ref="F22:F24">F23</f>
        <v>22447.3</v>
      </c>
    </row>
    <row r="23" spans="1:6" ht="12.75">
      <c r="A23" s="42" t="s">
        <v>47</v>
      </c>
      <c r="B23" s="42">
        <v>9900000000</v>
      </c>
      <c r="C23" s="42"/>
      <c r="D23" s="63" t="s">
        <v>107</v>
      </c>
      <c r="E23" s="17">
        <f>E24</f>
        <v>22447.3</v>
      </c>
      <c r="F23" s="17">
        <f t="shared" si="5"/>
        <v>22447.3</v>
      </c>
    </row>
    <row r="24" spans="1:6" ht="39" customHeight="1">
      <c r="A24" s="42" t="s">
        <v>47</v>
      </c>
      <c r="B24" s="42">
        <v>9990000000</v>
      </c>
      <c r="C24" s="42"/>
      <c r="D24" s="63" t="s">
        <v>160</v>
      </c>
      <c r="E24" s="17">
        <f>E25</f>
        <v>22447.3</v>
      </c>
      <c r="F24" s="17">
        <f t="shared" si="5"/>
        <v>22447.3</v>
      </c>
    </row>
    <row r="25" spans="1:6" ht="31.5">
      <c r="A25" s="42" t="s">
        <v>47</v>
      </c>
      <c r="B25" s="42">
        <v>9990200000</v>
      </c>
      <c r="C25" s="25"/>
      <c r="D25" s="63" t="s">
        <v>120</v>
      </c>
      <c r="E25" s="17">
        <f>E31+E36+E26</f>
        <v>22447.3</v>
      </c>
      <c r="F25" s="17">
        <f>F31+F36+F26</f>
        <v>22447.3</v>
      </c>
    </row>
    <row r="26" spans="1:6" ht="55.15" customHeight="1">
      <c r="A26" s="42" t="s">
        <v>47</v>
      </c>
      <c r="B26" s="42">
        <v>9990210510</v>
      </c>
      <c r="C26" s="42"/>
      <c r="D26" s="63" t="s">
        <v>163</v>
      </c>
      <c r="E26" s="17">
        <f>E27+E29</f>
        <v>662.1</v>
      </c>
      <c r="F26" s="17">
        <f aca="true" t="shared" si="6" ref="F26">F27+F29</f>
        <v>662.1</v>
      </c>
    </row>
    <row r="27" spans="1:6" ht="63">
      <c r="A27" s="42" t="s">
        <v>47</v>
      </c>
      <c r="B27" s="42">
        <v>9990210510</v>
      </c>
      <c r="C27" s="42" t="s">
        <v>71</v>
      </c>
      <c r="D27" s="63" t="s">
        <v>1</v>
      </c>
      <c r="E27" s="17">
        <f>E28</f>
        <v>575</v>
      </c>
      <c r="F27" s="17">
        <f aca="true" t="shared" si="7" ref="F27">F28</f>
        <v>575</v>
      </c>
    </row>
    <row r="28" spans="1:6" ht="31.5">
      <c r="A28" s="42" t="s">
        <v>47</v>
      </c>
      <c r="B28" s="42">
        <v>9990210510</v>
      </c>
      <c r="C28" s="42">
        <v>120</v>
      </c>
      <c r="D28" s="63" t="s">
        <v>258</v>
      </c>
      <c r="E28" s="17">
        <f>'№ 6'!F20</f>
        <v>575</v>
      </c>
      <c r="F28" s="17">
        <f>'№ 6'!G20</f>
        <v>575</v>
      </c>
    </row>
    <row r="29" spans="1:6" ht="31.5">
      <c r="A29" s="123" t="s">
        <v>47</v>
      </c>
      <c r="B29" s="123">
        <v>9990210510</v>
      </c>
      <c r="C29" s="125" t="s">
        <v>72</v>
      </c>
      <c r="D29" s="124" t="s">
        <v>95</v>
      </c>
      <c r="E29" s="17">
        <f>E30</f>
        <v>87.1</v>
      </c>
      <c r="F29" s="17">
        <f aca="true" t="shared" si="8" ref="F29">F30</f>
        <v>87.1</v>
      </c>
    </row>
    <row r="30" spans="1:6" ht="31.5">
      <c r="A30" s="123" t="s">
        <v>47</v>
      </c>
      <c r="B30" s="123">
        <v>9990210510</v>
      </c>
      <c r="C30" s="123">
        <v>240</v>
      </c>
      <c r="D30" s="124" t="s">
        <v>257</v>
      </c>
      <c r="E30" s="17">
        <f>'№ 6'!F22</f>
        <v>87.1</v>
      </c>
      <c r="F30" s="17">
        <f>'№ 6'!G22</f>
        <v>87.1</v>
      </c>
    </row>
    <row r="31" spans="1:6" ht="47.25">
      <c r="A31" s="42" t="s">
        <v>47</v>
      </c>
      <c r="B31" s="42">
        <v>9990225000</v>
      </c>
      <c r="C31" s="42"/>
      <c r="D31" s="63" t="s">
        <v>121</v>
      </c>
      <c r="E31" s="17">
        <f>E32+E34</f>
        <v>21582.3</v>
      </c>
      <c r="F31" s="17">
        <f aca="true" t="shared" si="9" ref="F31">F32+F34</f>
        <v>21582.3</v>
      </c>
    </row>
    <row r="32" spans="1:6" ht="63">
      <c r="A32" s="42" t="s">
        <v>47</v>
      </c>
      <c r="B32" s="42">
        <v>9990225000</v>
      </c>
      <c r="C32" s="42" t="s">
        <v>71</v>
      </c>
      <c r="D32" s="63" t="s">
        <v>1</v>
      </c>
      <c r="E32" s="17">
        <f>E33</f>
        <v>21502.8</v>
      </c>
      <c r="F32" s="17">
        <f aca="true" t="shared" si="10" ref="F32">F33</f>
        <v>21502.8</v>
      </c>
    </row>
    <row r="33" spans="1:6" ht="31.5">
      <c r="A33" s="42" t="s">
        <v>47</v>
      </c>
      <c r="B33" s="42">
        <v>9990225000</v>
      </c>
      <c r="C33" s="42">
        <v>120</v>
      </c>
      <c r="D33" s="63" t="s">
        <v>258</v>
      </c>
      <c r="E33" s="17">
        <f>'№ 6'!F25</f>
        <v>21502.8</v>
      </c>
      <c r="F33" s="17">
        <f>'№ 6'!G25</f>
        <v>21502.8</v>
      </c>
    </row>
    <row r="34" spans="1:6" ht="12.75">
      <c r="A34" s="42" t="s">
        <v>47</v>
      </c>
      <c r="B34" s="42">
        <v>9990225000</v>
      </c>
      <c r="C34" s="42" t="s">
        <v>73</v>
      </c>
      <c r="D34" s="63" t="s">
        <v>74</v>
      </c>
      <c r="E34" s="17">
        <f>E35</f>
        <v>79.5</v>
      </c>
      <c r="F34" s="17">
        <f aca="true" t="shared" si="11" ref="F34">F35</f>
        <v>79.5</v>
      </c>
    </row>
    <row r="35" spans="1:6" ht="12.75">
      <c r="A35" s="42" t="s">
        <v>47</v>
      </c>
      <c r="B35" s="42">
        <v>9990225000</v>
      </c>
      <c r="C35" s="42">
        <v>850</v>
      </c>
      <c r="D35" s="63" t="s">
        <v>102</v>
      </c>
      <c r="E35" s="17">
        <f>'№ 6'!F27</f>
        <v>79.5</v>
      </c>
      <c r="F35" s="17">
        <f>'№ 6'!G27</f>
        <v>79.5</v>
      </c>
    </row>
    <row r="36" spans="1:6" ht="47.25">
      <c r="A36" s="42" t="s">
        <v>47</v>
      </c>
      <c r="B36" s="42">
        <v>9990226000</v>
      </c>
      <c r="C36" s="42"/>
      <c r="D36" s="63" t="s">
        <v>162</v>
      </c>
      <c r="E36" s="17">
        <f>E37</f>
        <v>202.89999999999998</v>
      </c>
      <c r="F36" s="17">
        <f aca="true" t="shared" si="12" ref="F36:F37">F37</f>
        <v>202.9</v>
      </c>
    </row>
    <row r="37" spans="1:6" ht="63">
      <c r="A37" s="42" t="s">
        <v>47</v>
      </c>
      <c r="B37" s="42">
        <v>9990226000</v>
      </c>
      <c r="C37" s="42" t="s">
        <v>71</v>
      </c>
      <c r="D37" s="63" t="s">
        <v>1</v>
      </c>
      <c r="E37" s="17">
        <f>E38</f>
        <v>202.89999999999998</v>
      </c>
      <c r="F37" s="17">
        <f t="shared" si="12"/>
        <v>202.9</v>
      </c>
    </row>
    <row r="38" spans="1:6" ht="31.5">
      <c r="A38" s="42" t="s">
        <v>47</v>
      </c>
      <c r="B38" s="42">
        <v>9990226000</v>
      </c>
      <c r="C38" s="42">
        <v>120</v>
      </c>
      <c r="D38" s="63" t="s">
        <v>258</v>
      </c>
      <c r="E38" s="17">
        <f>'№ 6'!F30</f>
        <v>202.89999999999998</v>
      </c>
      <c r="F38" s="17">
        <f>'№ 6'!G30</f>
        <v>202.9</v>
      </c>
    </row>
    <row r="39" spans="1:6" ht="12.75">
      <c r="A39" s="9" t="s">
        <v>171</v>
      </c>
      <c r="B39" s="10"/>
      <c r="C39" s="12"/>
      <c r="D39" s="50" t="s">
        <v>172</v>
      </c>
      <c r="E39" s="17">
        <f>E40</f>
        <v>28.9</v>
      </c>
      <c r="F39" s="17">
        <f aca="true" t="shared" si="13" ref="F39:F43">F40</f>
        <v>0</v>
      </c>
    </row>
    <row r="40" spans="1:6" ht="12.75">
      <c r="A40" s="9" t="s">
        <v>171</v>
      </c>
      <c r="B40" s="42">
        <v>9900000000</v>
      </c>
      <c r="C40" s="42"/>
      <c r="D40" s="63" t="s">
        <v>107</v>
      </c>
      <c r="E40" s="17">
        <f>E41</f>
        <v>28.9</v>
      </c>
      <c r="F40" s="17">
        <f t="shared" si="13"/>
        <v>0</v>
      </c>
    </row>
    <row r="41" spans="1:6" ht="31.5">
      <c r="A41" s="9" t="s">
        <v>171</v>
      </c>
      <c r="B41" s="42">
        <v>9930000000</v>
      </c>
      <c r="C41" s="42"/>
      <c r="D41" s="63" t="s">
        <v>173</v>
      </c>
      <c r="E41" s="17">
        <f>E42</f>
        <v>28.9</v>
      </c>
      <c r="F41" s="17">
        <f t="shared" si="13"/>
        <v>0</v>
      </c>
    </row>
    <row r="42" spans="1:6" ht="47.25">
      <c r="A42" s="9" t="s">
        <v>171</v>
      </c>
      <c r="B42" s="42">
        <v>9930051200</v>
      </c>
      <c r="C42" s="42"/>
      <c r="D42" s="63" t="s">
        <v>174</v>
      </c>
      <c r="E42" s="17">
        <f>E43</f>
        <v>28.9</v>
      </c>
      <c r="F42" s="17">
        <f t="shared" si="13"/>
        <v>0</v>
      </c>
    </row>
    <row r="43" spans="1:6" ht="31.5">
      <c r="A43" s="9" t="s">
        <v>171</v>
      </c>
      <c r="B43" s="42">
        <v>9930051200</v>
      </c>
      <c r="C43" s="42" t="s">
        <v>72</v>
      </c>
      <c r="D43" s="63" t="s">
        <v>95</v>
      </c>
      <c r="E43" s="17">
        <f>E44</f>
        <v>28.9</v>
      </c>
      <c r="F43" s="17">
        <f t="shared" si="13"/>
        <v>0</v>
      </c>
    </row>
    <row r="44" spans="1:6" ht="31.5">
      <c r="A44" s="9" t="s">
        <v>171</v>
      </c>
      <c r="B44" s="42">
        <v>9930051200</v>
      </c>
      <c r="C44" s="42">
        <v>240</v>
      </c>
      <c r="D44" s="63" t="s">
        <v>257</v>
      </c>
      <c r="E44" s="17">
        <f>'№ 6'!F36</f>
        <v>28.9</v>
      </c>
      <c r="F44" s="17">
        <f>'№ 6'!G36</f>
        <v>0</v>
      </c>
    </row>
    <row r="45" spans="1:6" ht="31.5">
      <c r="A45" s="42" t="s">
        <v>48</v>
      </c>
      <c r="B45" s="42" t="s">
        <v>69</v>
      </c>
      <c r="C45" s="42" t="s">
        <v>69</v>
      </c>
      <c r="D45" s="63" t="s">
        <v>8</v>
      </c>
      <c r="E45" s="17">
        <f>E46</f>
        <v>7279.299999999999</v>
      </c>
      <c r="F45" s="17">
        <f aca="true" t="shared" si="14" ref="F45:F48">F46</f>
        <v>7279.3</v>
      </c>
    </row>
    <row r="46" spans="1:6" ht="12.75">
      <c r="A46" s="42" t="s">
        <v>48</v>
      </c>
      <c r="B46" s="42">
        <v>9900000000</v>
      </c>
      <c r="C46" s="42"/>
      <c r="D46" s="63" t="s">
        <v>107</v>
      </c>
      <c r="E46" s="17">
        <f>E47</f>
        <v>7279.299999999999</v>
      </c>
      <c r="F46" s="17">
        <f t="shared" si="14"/>
        <v>7279.3</v>
      </c>
    </row>
    <row r="47" spans="1:6" ht="40.9" customHeight="1">
      <c r="A47" s="42" t="s">
        <v>48</v>
      </c>
      <c r="B47" s="42">
        <v>9990000000</v>
      </c>
      <c r="C47" s="42"/>
      <c r="D47" s="63" t="s">
        <v>160</v>
      </c>
      <c r="E47" s="17">
        <f>E48</f>
        <v>7279.299999999999</v>
      </c>
      <c r="F47" s="17">
        <f t="shared" si="14"/>
        <v>7279.3</v>
      </c>
    </row>
    <row r="48" spans="1:6" ht="31.5">
      <c r="A48" s="42" t="s">
        <v>48</v>
      </c>
      <c r="B48" s="42">
        <v>9990200000</v>
      </c>
      <c r="C48" s="25"/>
      <c r="D48" s="63" t="s">
        <v>120</v>
      </c>
      <c r="E48" s="17">
        <f>E49</f>
        <v>7279.299999999999</v>
      </c>
      <c r="F48" s="17">
        <f t="shared" si="14"/>
        <v>7279.3</v>
      </c>
    </row>
    <row r="49" spans="1:6" ht="47.25">
      <c r="A49" s="42" t="s">
        <v>48</v>
      </c>
      <c r="B49" s="42">
        <v>9990225000</v>
      </c>
      <c r="C49" s="42"/>
      <c r="D49" s="63" t="s">
        <v>121</v>
      </c>
      <c r="E49" s="17">
        <f>E50+E52</f>
        <v>7279.299999999999</v>
      </c>
      <c r="F49" s="17">
        <f aca="true" t="shared" si="15" ref="F49">F50+F52</f>
        <v>7279.3</v>
      </c>
    </row>
    <row r="50" spans="1:6" ht="63">
      <c r="A50" s="42" t="s">
        <v>48</v>
      </c>
      <c r="B50" s="42">
        <v>9990225000</v>
      </c>
      <c r="C50" s="42" t="s">
        <v>71</v>
      </c>
      <c r="D50" s="63" t="s">
        <v>1</v>
      </c>
      <c r="E50" s="17">
        <f>E51</f>
        <v>7218.299999999999</v>
      </c>
      <c r="F50" s="17">
        <f aca="true" t="shared" si="16" ref="F50">F51</f>
        <v>7218.3</v>
      </c>
    </row>
    <row r="51" spans="1:6" ht="31.5">
      <c r="A51" s="42" t="s">
        <v>48</v>
      </c>
      <c r="B51" s="42">
        <v>9990225000</v>
      </c>
      <c r="C51" s="42">
        <v>120</v>
      </c>
      <c r="D51" s="63" t="s">
        <v>258</v>
      </c>
      <c r="E51" s="17">
        <f>'№ 6'!F495</f>
        <v>7218.299999999999</v>
      </c>
      <c r="F51" s="17">
        <f>'№ 6'!G495</f>
        <v>7218.3</v>
      </c>
    </row>
    <row r="52" spans="1:6" ht="12.75">
      <c r="A52" s="42" t="s">
        <v>48</v>
      </c>
      <c r="B52" s="42">
        <v>9990225000</v>
      </c>
      <c r="C52" s="42" t="s">
        <v>73</v>
      </c>
      <c r="D52" s="63" t="s">
        <v>74</v>
      </c>
      <c r="E52" s="17">
        <f>E53</f>
        <v>61.00000000000001</v>
      </c>
      <c r="F52" s="17">
        <f aca="true" t="shared" si="17" ref="F52">F53</f>
        <v>61</v>
      </c>
    </row>
    <row r="53" spans="1:6" ht="12.75">
      <c r="A53" s="42" t="s">
        <v>48</v>
      </c>
      <c r="B53" s="42">
        <v>9990225000</v>
      </c>
      <c r="C53" s="42">
        <v>850</v>
      </c>
      <c r="D53" s="63" t="s">
        <v>102</v>
      </c>
      <c r="E53" s="17">
        <f>'№ 6'!F497</f>
        <v>61.00000000000001</v>
      </c>
      <c r="F53" s="17">
        <f>'№ 6'!G497</f>
        <v>61</v>
      </c>
    </row>
    <row r="54" spans="1:6" ht="12.75">
      <c r="A54" s="9" t="s">
        <v>337</v>
      </c>
      <c r="B54" s="132"/>
      <c r="C54" s="132"/>
      <c r="D54" s="50" t="s">
        <v>338</v>
      </c>
      <c r="E54" s="17">
        <f>E55</f>
        <v>2175</v>
      </c>
      <c r="F54" s="17">
        <f aca="true" t="shared" si="18" ref="F54:F58">F55</f>
        <v>2175</v>
      </c>
    </row>
    <row r="55" spans="1:6" ht="12.75">
      <c r="A55" s="9" t="s">
        <v>337</v>
      </c>
      <c r="B55" s="134" t="s">
        <v>112</v>
      </c>
      <c r="C55" s="134" t="s">
        <v>69</v>
      </c>
      <c r="D55" s="133" t="s">
        <v>107</v>
      </c>
      <c r="E55" s="17">
        <f>E56</f>
        <v>2175</v>
      </c>
      <c r="F55" s="17">
        <f t="shared" si="18"/>
        <v>2175</v>
      </c>
    </row>
    <row r="56" spans="1:6" ht="31.5">
      <c r="A56" s="9" t="s">
        <v>337</v>
      </c>
      <c r="B56" s="132">
        <v>9930000000</v>
      </c>
      <c r="C56" s="132"/>
      <c r="D56" s="73" t="s">
        <v>173</v>
      </c>
      <c r="E56" s="17">
        <f>E57</f>
        <v>2175</v>
      </c>
      <c r="F56" s="17">
        <f t="shared" si="18"/>
        <v>2175</v>
      </c>
    </row>
    <row r="57" spans="1:6" ht="31.5">
      <c r="A57" s="9" t="s">
        <v>337</v>
      </c>
      <c r="B57" s="134">
        <v>9930020480</v>
      </c>
      <c r="C57" s="134"/>
      <c r="D57" s="133" t="s">
        <v>339</v>
      </c>
      <c r="E57" s="17">
        <f>E58</f>
        <v>2175</v>
      </c>
      <c r="F57" s="17">
        <f t="shared" si="18"/>
        <v>2175</v>
      </c>
    </row>
    <row r="58" spans="1:6" ht="12.75">
      <c r="A58" s="9" t="s">
        <v>337</v>
      </c>
      <c r="B58" s="134">
        <v>9930020480</v>
      </c>
      <c r="C58" s="132" t="s">
        <v>73</v>
      </c>
      <c r="D58" s="133" t="s">
        <v>74</v>
      </c>
      <c r="E58" s="17">
        <f>E59</f>
        <v>2175</v>
      </c>
      <c r="F58" s="17">
        <f t="shared" si="18"/>
        <v>2175</v>
      </c>
    </row>
    <row r="59" spans="1:6" ht="12.75">
      <c r="A59" s="9" t="s">
        <v>337</v>
      </c>
      <c r="B59" s="134">
        <v>9930020480</v>
      </c>
      <c r="C59" s="132">
        <v>880</v>
      </c>
      <c r="D59" s="133" t="s">
        <v>340</v>
      </c>
      <c r="E59" s="17">
        <f>'№ 6'!F42</f>
        <v>2175</v>
      </c>
      <c r="F59" s="17">
        <f>'№ 6'!G42</f>
        <v>2175</v>
      </c>
    </row>
    <row r="60" spans="1:6" ht="22.15" customHeight="1">
      <c r="A60" s="23" t="s">
        <v>245</v>
      </c>
      <c r="B60" s="42"/>
      <c r="C60" s="42"/>
      <c r="D60" s="13" t="s">
        <v>246</v>
      </c>
      <c r="E60" s="17">
        <f aca="true" t="shared" si="19" ref="E60:E65">E61</f>
        <v>88.6</v>
      </c>
      <c r="F60" s="17">
        <f aca="true" t="shared" si="20" ref="F60:F65">F61</f>
        <v>88.6</v>
      </c>
    </row>
    <row r="61" spans="1:6" ht="47.25">
      <c r="A61" s="9" t="s">
        <v>245</v>
      </c>
      <c r="B61" s="43">
        <v>1200000000</v>
      </c>
      <c r="C61" s="42"/>
      <c r="D61" s="57" t="s">
        <v>197</v>
      </c>
      <c r="E61" s="17">
        <f t="shared" si="19"/>
        <v>88.6</v>
      </c>
      <c r="F61" s="17">
        <f t="shared" si="20"/>
        <v>88.6</v>
      </c>
    </row>
    <row r="62" spans="1:6" ht="37.9" customHeight="1">
      <c r="A62" s="9" t="s">
        <v>245</v>
      </c>
      <c r="B62" s="42">
        <v>1240000000</v>
      </c>
      <c r="C62" s="42"/>
      <c r="D62" s="57" t="s">
        <v>140</v>
      </c>
      <c r="E62" s="17">
        <f t="shared" si="19"/>
        <v>88.6</v>
      </c>
      <c r="F62" s="17">
        <f t="shared" si="20"/>
        <v>88.6</v>
      </c>
    </row>
    <row r="63" spans="1:6" ht="31.5">
      <c r="A63" s="23" t="s">
        <v>245</v>
      </c>
      <c r="B63" s="42">
        <v>1240500000</v>
      </c>
      <c r="C63" s="42"/>
      <c r="D63" s="57" t="s">
        <v>141</v>
      </c>
      <c r="E63" s="17">
        <f t="shared" si="19"/>
        <v>88.6</v>
      </c>
      <c r="F63" s="17">
        <f t="shared" si="20"/>
        <v>88.6</v>
      </c>
    </row>
    <row r="64" spans="1:6" ht="31.5">
      <c r="A64" s="9" t="s">
        <v>245</v>
      </c>
      <c r="B64" s="42">
        <v>1240520410</v>
      </c>
      <c r="C64" s="42"/>
      <c r="D64" s="71" t="s">
        <v>233</v>
      </c>
      <c r="E64" s="17">
        <f t="shared" si="19"/>
        <v>88.6</v>
      </c>
      <c r="F64" s="17">
        <f t="shared" si="20"/>
        <v>88.6</v>
      </c>
    </row>
    <row r="65" spans="1:6" ht="12.75">
      <c r="A65" s="9" t="s">
        <v>245</v>
      </c>
      <c r="B65" s="42">
        <v>1240520410</v>
      </c>
      <c r="C65" s="42" t="s">
        <v>73</v>
      </c>
      <c r="D65" s="57" t="s">
        <v>74</v>
      </c>
      <c r="E65" s="17">
        <f t="shared" si="19"/>
        <v>88.6</v>
      </c>
      <c r="F65" s="17">
        <f t="shared" si="20"/>
        <v>88.6</v>
      </c>
    </row>
    <row r="66" spans="1:6" ht="31.5">
      <c r="A66" s="9" t="s">
        <v>245</v>
      </c>
      <c r="B66" s="42">
        <v>1240520410</v>
      </c>
      <c r="C66" s="42">
        <v>860</v>
      </c>
      <c r="D66" s="57" t="s">
        <v>260</v>
      </c>
      <c r="E66" s="17">
        <f>'№ 6'!F49</f>
        <v>88.6</v>
      </c>
      <c r="F66" s="17">
        <f>'№ 6'!G49</f>
        <v>88.6</v>
      </c>
    </row>
    <row r="67" spans="1:6" ht="12.75">
      <c r="A67" s="42" t="s">
        <v>49</v>
      </c>
      <c r="B67" s="42"/>
      <c r="C67" s="42"/>
      <c r="D67" s="63" t="s">
        <v>9</v>
      </c>
      <c r="E67" s="17">
        <f>E68</f>
        <v>363</v>
      </c>
      <c r="F67" s="17">
        <f aca="true" t="shared" si="21" ref="F67:F71">F68</f>
        <v>0</v>
      </c>
    </row>
    <row r="68" spans="1:6" ht="12.75">
      <c r="A68" s="42" t="s">
        <v>49</v>
      </c>
      <c r="B68" s="42">
        <v>9900000000</v>
      </c>
      <c r="C68" s="42"/>
      <c r="D68" s="63" t="s">
        <v>107</v>
      </c>
      <c r="E68" s="17">
        <f>E69</f>
        <v>363</v>
      </c>
      <c r="F68" s="17">
        <f t="shared" si="21"/>
        <v>0</v>
      </c>
    </row>
    <row r="69" spans="1:6" ht="12.75">
      <c r="A69" s="42" t="s">
        <v>49</v>
      </c>
      <c r="B69" s="42">
        <v>9910000000</v>
      </c>
      <c r="C69" s="42"/>
      <c r="D69" s="63" t="s">
        <v>9</v>
      </c>
      <c r="E69" s="17">
        <f>E70</f>
        <v>363</v>
      </c>
      <c r="F69" s="17">
        <f t="shared" si="21"/>
        <v>0</v>
      </c>
    </row>
    <row r="70" spans="1:6" ht="31.5">
      <c r="A70" s="42" t="s">
        <v>49</v>
      </c>
      <c r="B70" s="42">
        <v>9910020000</v>
      </c>
      <c r="C70" s="42"/>
      <c r="D70" s="63" t="s">
        <v>178</v>
      </c>
      <c r="E70" s="17">
        <f>E71</f>
        <v>363</v>
      </c>
      <c r="F70" s="17">
        <f t="shared" si="21"/>
        <v>0</v>
      </c>
    </row>
    <row r="71" spans="1:6" ht="12.75">
      <c r="A71" s="42" t="s">
        <v>49</v>
      </c>
      <c r="B71" s="42">
        <v>9910020000</v>
      </c>
      <c r="C71" s="43" t="s">
        <v>73</v>
      </c>
      <c r="D71" s="57" t="s">
        <v>74</v>
      </c>
      <c r="E71" s="17">
        <f>E72</f>
        <v>363</v>
      </c>
      <c r="F71" s="17">
        <f t="shared" si="21"/>
        <v>0</v>
      </c>
    </row>
    <row r="72" spans="1:6" ht="12.75">
      <c r="A72" s="42" t="s">
        <v>49</v>
      </c>
      <c r="B72" s="42">
        <v>9910020000</v>
      </c>
      <c r="C72" s="2" t="s">
        <v>179</v>
      </c>
      <c r="D72" s="60" t="s">
        <v>180</v>
      </c>
      <c r="E72" s="17">
        <f>'№ 6'!F503</f>
        <v>363</v>
      </c>
      <c r="F72" s="17">
        <f>'№ 6'!G503</f>
        <v>0</v>
      </c>
    </row>
    <row r="73" spans="1:6" ht="12.75">
      <c r="A73" s="44" t="s">
        <v>63</v>
      </c>
      <c r="B73" s="44" t="s">
        <v>69</v>
      </c>
      <c r="C73" s="44" t="s">
        <v>69</v>
      </c>
      <c r="D73" s="13" t="s">
        <v>25</v>
      </c>
      <c r="E73" s="7">
        <f>E74+E92+E98+E124</f>
        <v>38320.299999999996</v>
      </c>
      <c r="F73" s="7">
        <f>F74+F92+F98+F124</f>
        <v>36923.4</v>
      </c>
    </row>
    <row r="74" spans="1:6" ht="47.25">
      <c r="A74" s="42" t="s">
        <v>63</v>
      </c>
      <c r="B74" s="43">
        <v>1200000000</v>
      </c>
      <c r="C74" s="42"/>
      <c r="D74" s="63" t="s">
        <v>197</v>
      </c>
      <c r="E74" s="17">
        <f>E75</f>
        <v>1022.5999999999999</v>
      </c>
      <c r="F74" s="17">
        <f aca="true" t="shared" si="22" ref="F74">F75</f>
        <v>933.3</v>
      </c>
    </row>
    <row r="75" spans="1:6" ht="39" customHeight="1">
      <c r="A75" s="42" t="s">
        <v>63</v>
      </c>
      <c r="B75" s="42">
        <v>1240000000</v>
      </c>
      <c r="C75" s="42"/>
      <c r="D75" s="63" t="s">
        <v>140</v>
      </c>
      <c r="E75" s="17">
        <f>E76+E85</f>
        <v>1022.5999999999999</v>
      </c>
      <c r="F75" s="17">
        <f>F76+F85</f>
        <v>933.3</v>
      </c>
    </row>
    <row r="76" spans="1:6" ht="31.5">
      <c r="A76" s="42" t="s">
        <v>63</v>
      </c>
      <c r="B76" s="42">
        <v>1240200000</v>
      </c>
      <c r="C76" s="42"/>
      <c r="D76" s="63" t="s">
        <v>157</v>
      </c>
      <c r="E76" s="17">
        <f>E77+E82</f>
        <v>118.4</v>
      </c>
      <c r="F76" s="17">
        <f aca="true" t="shared" si="23" ref="F76">F77+F82</f>
        <v>108.9</v>
      </c>
    </row>
    <row r="77" spans="1:6" ht="12.75">
      <c r="A77" s="42" t="s">
        <v>63</v>
      </c>
      <c r="B77" s="42">
        <v>1240220340</v>
      </c>
      <c r="C77" s="42"/>
      <c r="D77" s="63" t="s">
        <v>164</v>
      </c>
      <c r="E77" s="17">
        <f>E78+E80</f>
        <v>111.80000000000001</v>
      </c>
      <c r="F77" s="17">
        <f aca="true" t="shared" si="24" ref="F77">F78+F80</f>
        <v>102.4</v>
      </c>
    </row>
    <row r="78" spans="1:6" ht="31.5">
      <c r="A78" s="42" t="s">
        <v>63</v>
      </c>
      <c r="B78" s="42">
        <v>1240220340</v>
      </c>
      <c r="C78" s="43" t="s">
        <v>72</v>
      </c>
      <c r="D78" s="57" t="s">
        <v>95</v>
      </c>
      <c r="E78" s="17">
        <f>E79</f>
        <v>80.2</v>
      </c>
      <c r="F78" s="17">
        <f aca="true" t="shared" si="25" ref="F78">F79</f>
        <v>70.8</v>
      </c>
    </row>
    <row r="79" spans="1:6" ht="31.5">
      <c r="A79" s="42" t="s">
        <v>63</v>
      </c>
      <c r="B79" s="42">
        <v>1240220340</v>
      </c>
      <c r="C79" s="42">
        <v>240</v>
      </c>
      <c r="D79" s="63" t="s">
        <v>257</v>
      </c>
      <c r="E79" s="17">
        <f>'№ 6'!F56</f>
        <v>80.2</v>
      </c>
      <c r="F79" s="17">
        <f>'№ 6'!G56</f>
        <v>70.8</v>
      </c>
    </row>
    <row r="80" spans="1:6" ht="12.75">
      <c r="A80" s="42" t="s">
        <v>63</v>
      </c>
      <c r="B80" s="42">
        <v>1240220340</v>
      </c>
      <c r="C80" s="43" t="s">
        <v>76</v>
      </c>
      <c r="D80" s="57" t="s">
        <v>77</v>
      </c>
      <c r="E80" s="17">
        <f>E81</f>
        <v>31.6</v>
      </c>
      <c r="F80" s="17">
        <f aca="true" t="shared" si="26" ref="F80">F81</f>
        <v>31.6</v>
      </c>
    </row>
    <row r="81" spans="1:6" ht="12.75">
      <c r="A81" s="42" t="s">
        <v>63</v>
      </c>
      <c r="B81" s="42">
        <v>1240220340</v>
      </c>
      <c r="C81" s="42">
        <v>350</v>
      </c>
      <c r="D81" s="60" t="s">
        <v>165</v>
      </c>
      <c r="E81" s="17">
        <f>'№ 6'!F58</f>
        <v>31.6</v>
      </c>
      <c r="F81" s="17">
        <f>'№ 6'!G58</f>
        <v>31.6</v>
      </c>
    </row>
    <row r="82" spans="1:6" ht="31.5">
      <c r="A82" s="68" t="s">
        <v>63</v>
      </c>
      <c r="B82" s="68">
        <v>1240220360</v>
      </c>
      <c r="C82" s="68"/>
      <c r="D82" s="60" t="s">
        <v>261</v>
      </c>
      <c r="E82" s="17">
        <f>E83</f>
        <v>6.6</v>
      </c>
      <c r="F82" s="17">
        <f aca="true" t="shared" si="27" ref="F82:F83">F83</f>
        <v>6.5</v>
      </c>
    </row>
    <row r="83" spans="1:6" ht="12.75">
      <c r="A83" s="68" t="s">
        <v>63</v>
      </c>
      <c r="B83" s="68">
        <v>1240220360</v>
      </c>
      <c r="C83" s="70" t="s">
        <v>76</v>
      </c>
      <c r="D83" s="69" t="s">
        <v>77</v>
      </c>
      <c r="E83" s="17">
        <f>E84</f>
        <v>6.6</v>
      </c>
      <c r="F83" s="17">
        <f t="shared" si="27"/>
        <v>6.5</v>
      </c>
    </row>
    <row r="84" spans="1:6" ht="12.75">
      <c r="A84" s="68" t="s">
        <v>63</v>
      </c>
      <c r="B84" s="68">
        <v>1240220360</v>
      </c>
      <c r="C84" s="68">
        <v>350</v>
      </c>
      <c r="D84" s="60" t="s">
        <v>165</v>
      </c>
      <c r="E84" s="17">
        <f>'№ 6'!F61</f>
        <v>6.6</v>
      </c>
      <c r="F84" s="17">
        <f>'№ 6'!G61</f>
        <v>6.5</v>
      </c>
    </row>
    <row r="85" spans="1:6" ht="26.45" customHeight="1">
      <c r="A85" s="42" t="s">
        <v>63</v>
      </c>
      <c r="B85" s="42">
        <v>1240500000</v>
      </c>
      <c r="C85" s="42"/>
      <c r="D85" s="63" t="s">
        <v>141</v>
      </c>
      <c r="E85" s="17">
        <f>E86+E89</f>
        <v>904.1999999999999</v>
      </c>
      <c r="F85" s="17">
        <f aca="true" t="shared" si="28" ref="F85">F86+F89</f>
        <v>824.4</v>
      </c>
    </row>
    <row r="86" spans="1:6" ht="31.5">
      <c r="A86" s="42" t="s">
        <v>63</v>
      </c>
      <c r="B86" s="42">
        <v>1240520410</v>
      </c>
      <c r="C86" s="42"/>
      <c r="D86" s="63" t="s">
        <v>233</v>
      </c>
      <c r="E86" s="17">
        <f>E87</f>
        <v>119.4</v>
      </c>
      <c r="F86" s="17">
        <f aca="true" t="shared" si="29" ref="F86:F87">F87</f>
        <v>117.1</v>
      </c>
    </row>
    <row r="87" spans="1:6" ht="12.75">
      <c r="A87" s="42" t="s">
        <v>63</v>
      </c>
      <c r="B87" s="42">
        <v>1240520410</v>
      </c>
      <c r="C87" s="42" t="s">
        <v>73</v>
      </c>
      <c r="D87" s="63" t="s">
        <v>74</v>
      </c>
      <c r="E87" s="17">
        <f>E88</f>
        <v>119.4</v>
      </c>
      <c r="F87" s="17">
        <f t="shared" si="29"/>
        <v>117.1</v>
      </c>
    </row>
    <row r="88" spans="1:6" ht="12.75">
      <c r="A88" s="42" t="s">
        <v>63</v>
      </c>
      <c r="B88" s="42">
        <v>1240520410</v>
      </c>
      <c r="C88" s="42">
        <v>850</v>
      </c>
      <c r="D88" s="63" t="s">
        <v>102</v>
      </c>
      <c r="E88" s="17">
        <f>'№ 6'!F65</f>
        <v>119.4</v>
      </c>
      <c r="F88" s="17">
        <f>'№ 6'!G65</f>
        <v>117.1</v>
      </c>
    </row>
    <row r="89" spans="1:6" ht="31.5">
      <c r="A89" s="42" t="s">
        <v>63</v>
      </c>
      <c r="B89" s="42">
        <v>1240520460</v>
      </c>
      <c r="C89" s="42"/>
      <c r="D89" s="63" t="s">
        <v>248</v>
      </c>
      <c r="E89" s="17">
        <f>E90</f>
        <v>784.8</v>
      </c>
      <c r="F89" s="17">
        <f aca="true" t="shared" si="30" ref="F89:F90">F90</f>
        <v>707.3</v>
      </c>
    </row>
    <row r="90" spans="1:6" ht="31.5">
      <c r="A90" s="42" t="s">
        <v>63</v>
      </c>
      <c r="B90" s="42">
        <v>1240520460</v>
      </c>
      <c r="C90" s="43" t="s">
        <v>72</v>
      </c>
      <c r="D90" s="57" t="s">
        <v>95</v>
      </c>
      <c r="E90" s="17">
        <f>E91</f>
        <v>784.8</v>
      </c>
      <c r="F90" s="17">
        <f t="shared" si="30"/>
        <v>707.3</v>
      </c>
    </row>
    <row r="91" spans="1:6" ht="31.5">
      <c r="A91" s="42" t="s">
        <v>63</v>
      </c>
      <c r="B91" s="42">
        <v>1240520460</v>
      </c>
      <c r="C91" s="42">
        <v>240</v>
      </c>
      <c r="D91" s="63" t="s">
        <v>257</v>
      </c>
      <c r="E91" s="17">
        <f>'№ 6'!F68</f>
        <v>784.8</v>
      </c>
      <c r="F91" s="17">
        <f>'№ 6'!G68</f>
        <v>707.3</v>
      </c>
    </row>
    <row r="92" spans="1:6" ht="31.5">
      <c r="A92" s="42" t="s">
        <v>63</v>
      </c>
      <c r="B92" s="43">
        <v>1500000000</v>
      </c>
      <c r="C92" s="42"/>
      <c r="D92" s="63" t="s">
        <v>198</v>
      </c>
      <c r="E92" s="17">
        <f>E93</f>
        <v>111.4</v>
      </c>
      <c r="F92" s="17">
        <f aca="true" t="shared" si="31" ref="F92:F96">F93</f>
        <v>91.4</v>
      </c>
    </row>
    <row r="93" spans="1:6" ht="21" customHeight="1">
      <c r="A93" s="42" t="s">
        <v>63</v>
      </c>
      <c r="B93" s="42">
        <v>1510000000</v>
      </c>
      <c r="C93" s="42"/>
      <c r="D93" s="63" t="s">
        <v>167</v>
      </c>
      <c r="E93" s="17">
        <f>E94</f>
        <v>111.4</v>
      </c>
      <c r="F93" s="17">
        <f t="shared" si="31"/>
        <v>91.4</v>
      </c>
    </row>
    <row r="94" spans="1:6" ht="51.6" customHeight="1">
      <c r="A94" s="42" t="s">
        <v>63</v>
      </c>
      <c r="B94" s="42">
        <v>1510200000</v>
      </c>
      <c r="C94" s="42"/>
      <c r="D94" s="63" t="s">
        <v>199</v>
      </c>
      <c r="E94" s="17">
        <f>E95</f>
        <v>111.4</v>
      </c>
      <c r="F94" s="17">
        <f t="shared" si="31"/>
        <v>91.4</v>
      </c>
    </row>
    <row r="95" spans="1:6" ht="31.5">
      <c r="A95" s="42" t="s">
        <v>63</v>
      </c>
      <c r="B95" s="42">
        <v>1510220170</v>
      </c>
      <c r="C95" s="42"/>
      <c r="D95" s="63" t="s">
        <v>200</v>
      </c>
      <c r="E95" s="17">
        <f>E96</f>
        <v>111.4</v>
      </c>
      <c r="F95" s="17">
        <f t="shared" si="31"/>
        <v>91.4</v>
      </c>
    </row>
    <row r="96" spans="1:6" ht="12.75">
      <c r="A96" s="42" t="s">
        <v>63</v>
      </c>
      <c r="B96" s="42">
        <v>1510220170</v>
      </c>
      <c r="C96" s="43" t="s">
        <v>76</v>
      </c>
      <c r="D96" s="57" t="s">
        <v>77</v>
      </c>
      <c r="E96" s="17">
        <f>E97</f>
        <v>111.4</v>
      </c>
      <c r="F96" s="17">
        <f t="shared" si="31"/>
        <v>91.4</v>
      </c>
    </row>
    <row r="97" spans="1:6" ht="12.75">
      <c r="A97" s="42" t="s">
        <v>63</v>
      </c>
      <c r="B97" s="42">
        <v>1510220170</v>
      </c>
      <c r="C97" s="1" t="s">
        <v>169</v>
      </c>
      <c r="D97" s="64" t="s">
        <v>168</v>
      </c>
      <c r="E97" s="17">
        <f>'№ 6'!F74</f>
        <v>111.4</v>
      </c>
      <c r="F97" s="17">
        <f>'№ 6'!G74</f>
        <v>91.4</v>
      </c>
    </row>
    <row r="98" spans="1:6" ht="47.25">
      <c r="A98" s="43" t="s">
        <v>63</v>
      </c>
      <c r="B98" s="43">
        <v>1600000000</v>
      </c>
      <c r="C98" s="43"/>
      <c r="D98" s="57" t="s">
        <v>116</v>
      </c>
      <c r="E98" s="17">
        <f>E99+E107+E119</f>
        <v>5207.1</v>
      </c>
      <c r="F98" s="17">
        <f>F99+F107+F119</f>
        <v>5087.6</v>
      </c>
    </row>
    <row r="99" spans="1:6" ht="37.9" customHeight="1">
      <c r="A99" s="43" t="s">
        <v>63</v>
      </c>
      <c r="B99" s="43">
        <v>1620000000</v>
      </c>
      <c r="C99" s="43"/>
      <c r="D99" s="57" t="s">
        <v>109</v>
      </c>
      <c r="E99" s="17">
        <f>E100</f>
        <v>3028.1</v>
      </c>
      <c r="F99" s="17">
        <f aca="true" t="shared" si="32" ref="F99">F100</f>
        <v>2915.7000000000003</v>
      </c>
    </row>
    <row r="100" spans="1:6" ht="12.75">
      <c r="A100" s="43" t="s">
        <v>63</v>
      </c>
      <c r="B100" s="43">
        <v>1620100000</v>
      </c>
      <c r="C100" s="43"/>
      <c r="D100" s="57" t="s">
        <v>110</v>
      </c>
      <c r="E100" s="17">
        <f>E101+E104</f>
        <v>3028.1</v>
      </c>
      <c r="F100" s="17">
        <f aca="true" t="shared" si="33" ref="F100">F101+F104</f>
        <v>2915.7000000000003</v>
      </c>
    </row>
    <row r="101" spans="1:6" ht="12.75">
      <c r="A101" s="43" t="s">
        <v>63</v>
      </c>
      <c r="B101" s="43">
        <v>1620120210</v>
      </c>
      <c r="C101" s="19"/>
      <c r="D101" s="57" t="s">
        <v>111</v>
      </c>
      <c r="E101" s="17">
        <f>E102</f>
        <v>2902.1</v>
      </c>
      <c r="F101" s="17">
        <f aca="true" t="shared" si="34" ref="F101:F102">F102</f>
        <v>2789.9</v>
      </c>
    </row>
    <row r="102" spans="1:6" ht="31.5">
      <c r="A102" s="43" t="s">
        <v>63</v>
      </c>
      <c r="B102" s="43">
        <v>1620120210</v>
      </c>
      <c r="C102" s="43" t="s">
        <v>72</v>
      </c>
      <c r="D102" s="57" t="s">
        <v>95</v>
      </c>
      <c r="E102" s="17">
        <f>E103</f>
        <v>2902.1</v>
      </c>
      <c r="F102" s="17">
        <f t="shared" si="34"/>
        <v>2789.9</v>
      </c>
    </row>
    <row r="103" spans="1:6" ht="31.5">
      <c r="A103" s="43" t="s">
        <v>63</v>
      </c>
      <c r="B103" s="43">
        <v>1620120210</v>
      </c>
      <c r="C103" s="42">
        <v>240</v>
      </c>
      <c r="D103" s="57" t="s">
        <v>257</v>
      </c>
      <c r="E103" s="17">
        <f>'№ 6'!F519</f>
        <v>2902.1</v>
      </c>
      <c r="F103" s="17">
        <f>'№ 6'!G519</f>
        <v>2789.9</v>
      </c>
    </row>
    <row r="104" spans="1:6" ht="31.5">
      <c r="A104" s="43" t="s">
        <v>63</v>
      </c>
      <c r="B104" s="43">
        <v>1620120220</v>
      </c>
      <c r="C104" s="42"/>
      <c r="D104" s="57" t="s">
        <v>108</v>
      </c>
      <c r="E104" s="17">
        <f>E105</f>
        <v>126</v>
      </c>
      <c r="F104" s="17">
        <f aca="true" t="shared" si="35" ref="F104">F105</f>
        <v>125.8</v>
      </c>
    </row>
    <row r="105" spans="1:6" ht="31.5">
      <c r="A105" s="43" t="s">
        <v>63</v>
      </c>
      <c r="B105" s="43">
        <v>1620120220</v>
      </c>
      <c r="C105" s="43" t="s">
        <v>72</v>
      </c>
      <c r="D105" s="57" t="s">
        <v>95</v>
      </c>
      <c r="E105" s="17">
        <f>E106</f>
        <v>126</v>
      </c>
      <c r="F105" s="17">
        <f aca="true" t="shared" si="36" ref="F105">F106</f>
        <v>125.8</v>
      </c>
    </row>
    <row r="106" spans="1:6" ht="31.5">
      <c r="A106" s="43" t="s">
        <v>63</v>
      </c>
      <c r="B106" s="43">
        <v>1620120220</v>
      </c>
      <c r="C106" s="42">
        <v>240</v>
      </c>
      <c r="D106" s="57" t="s">
        <v>257</v>
      </c>
      <c r="E106" s="17">
        <f>'№ 6'!F522</f>
        <v>126</v>
      </c>
      <c r="F106" s="17">
        <f>'№ 6'!G522</f>
        <v>125.8</v>
      </c>
    </row>
    <row r="107" spans="1:6" ht="47.25">
      <c r="A107" s="43" t="s">
        <v>63</v>
      </c>
      <c r="B107" s="43">
        <v>1630000000</v>
      </c>
      <c r="C107" s="42"/>
      <c r="D107" s="57" t="s">
        <v>235</v>
      </c>
      <c r="E107" s="17">
        <f>E108+E115</f>
        <v>2152.5</v>
      </c>
      <c r="F107" s="17">
        <f>F108+F115</f>
        <v>2145.4</v>
      </c>
    </row>
    <row r="108" spans="1:6" ht="47.25">
      <c r="A108" s="43" t="s">
        <v>63</v>
      </c>
      <c r="B108" s="42">
        <v>1630100000</v>
      </c>
      <c r="C108" s="42"/>
      <c r="D108" s="63" t="s">
        <v>236</v>
      </c>
      <c r="E108" s="17">
        <f>E109+E112</f>
        <v>1993.4</v>
      </c>
      <c r="F108" s="17">
        <f aca="true" t="shared" si="37" ref="F108">F109+F112</f>
        <v>1986.3</v>
      </c>
    </row>
    <row r="109" spans="1:6" ht="47.25">
      <c r="A109" s="42" t="s">
        <v>63</v>
      </c>
      <c r="B109" s="42">
        <v>1630120180</v>
      </c>
      <c r="C109" s="42"/>
      <c r="D109" s="63" t="s">
        <v>237</v>
      </c>
      <c r="E109" s="17">
        <f>E110</f>
        <v>1300.3</v>
      </c>
      <c r="F109" s="17">
        <f aca="true" t="shared" si="38" ref="F109:F110">F110</f>
        <v>1300.3</v>
      </c>
    </row>
    <row r="110" spans="1:6" ht="31.5">
      <c r="A110" s="43" t="s">
        <v>63</v>
      </c>
      <c r="B110" s="42">
        <v>1630120180</v>
      </c>
      <c r="C110" s="42" t="s">
        <v>72</v>
      </c>
      <c r="D110" s="63" t="s">
        <v>95</v>
      </c>
      <c r="E110" s="17">
        <f>E111</f>
        <v>1300.3</v>
      </c>
      <c r="F110" s="17">
        <f t="shared" si="38"/>
        <v>1300.3</v>
      </c>
    </row>
    <row r="111" spans="1:6" ht="31.5">
      <c r="A111" s="43" t="s">
        <v>63</v>
      </c>
      <c r="B111" s="42">
        <v>1630120180</v>
      </c>
      <c r="C111" s="42">
        <v>240</v>
      </c>
      <c r="D111" s="63" t="s">
        <v>257</v>
      </c>
      <c r="E111" s="17">
        <f>'№ 6'!F80</f>
        <v>1300.3</v>
      </c>
      <c r="F111" s="17">
        <f>'№ 6'!G80</f>
        <v>1300.3</v>
      </c>
    </row>
    <row r="112" spans="1:6" ht="47.25">
      <c r="A112" s="42" t="s">
        <v>63</v>
      </c>
      <c r="B112" s="42">
        <v>1630120520</v>
      </c>
      <c r="C112" s="42"/>
      <c r="D112" s="63" t="s">
        <v>242</v>
      </c>
      <c r="E112" s="17">
        <f>E113</f>
        <v>693.1</v>
      </c>
      <c r="F112" s="17">
        <f aca="true" t="shared" si="39" ref="F112:F113">F113</f>
        <v>686</v>
      </c>
    </row>
    <row r="113" spans="1:6" ht="31.5">
      <c r="A113" s="43" t="s">
        <v>63</v>
      </c>
      <c r="B113" s="42">
        <v>1630120520</v>
      </c>
      <c r="C113" s="42" t="s">
        <v>72</v>
      </c>
      <c r="D113" s="63" t="s">
        <v>95</v>
      </c>
      <c r="E113" s="17">
        <f>E114</f>
        <v>693.1</v>
      </c>
      <c r="F113" s="17">
        <f t="shared" si="39"/>
        <v>686</v>
      </c>
    </row>
    <row r="114" spans="1:6" ht="31.5">
      <c r="A114" s="43" t="s">
        <v>63</v>
      </c>
      <c r="B114" s="42">
        <v>1630120520</v>
      </c>
      <c r="C114" s="42">
        <v>240</v>
      </c>
      <c r="D114" s="63" t="s">
        <v>257</v>
      </c>
      <c r="E114" s="17">
        <f>'№ 6'!F83</f>
        <v>693.1</v>
      </c>
      <c r="F114" s="17">
        <f>'№ 6'!G83</f>
        <v>686</v>
      </c>
    </row>
    <row r="115" spans="1:6" ht="47.25">
      <c r="A115" s="42" t="s">
        <v>63</v>
      </c>
      <c r="B115" s="42">
        <v>1630200000</v>
      </c>
      <c r="C115" s="42"/>
      <c r="D115" s="63" t="s">
        <v>238</v>
      </c>
      <c r="E115" s="17">
        <f>E116</f>
        <v>159.10000000000002</v>
      </c>
      <c r="F115" s="17">
        <f aca="true" t="shared" si="40" ref="F115:F117">F116</f>
        <v>159.1</v>
      </c>
    </row>
    <row r="116" spans="1:6" ht="31.5">
      <c r="A116" s="43" t="s">
        <v>63</v>
      </c>
      <c r="B116" s="42">
        <v>1630220530</v>
      </c>
      <c r="C116" s="42"/>
      <c r="D116" s="63" t="s">
        <v>239</v>
      </c>
      <c r="E116" s="17">
        <f>E117</f>
        <v>159.10000000000002</v>
      </c>
      <c r="F116" s="17">
        <f t="shared" si="40"/>
        <v>159.1</v>
      </c>
    </row>
    <row r="117" spans="1:6" ht="31.5">
      <c r="A117" s="43" t="s">
        <v>63</v>
      </c>
      <c r="B117" s="42">
        <v>1630220530</v>
      </c>
      <c r="C117" s="42" t="s">
        <v>72</v>
      </c>
      <c r="D117" s="63" t="s">
        <v>95</v>
      </c>
      <c r="E117" s="17">
        <f>E118</f>
        <v>159.10000000000002</v>
      </c>
      <c r="F117" s="17">
        <f t="shared" si="40"/>
        <v>159.1</v>
      </c>
    </row>
    <row r="118" spans="1:6" ht="31.5">
      <c r="A118" s="42" t="s">
        <v>63</v>
      </c>
      <c r="B118" s="42">
        <v>1630220530</v>
      </c>
      <c r="C118" s="42">
        <v>240</v>
      </c>
      <c r="D118" s="63" t="s">
        <v>257</v>
      </c>
      <c r="E118" s="17">
        <f>'№ 6'!F87</f>
        <v>159.10000000000002</v>
      </c>
      <c r="F118" s="17">
        <f>'№ 6'!G87</f>
        <v>159.1</v>
      </c>
    </row>
    <row r="119" spans="1:6" ht="47.25">
      <c r="A119" s="42" t="s">
        <v>63</v>
      </c>
      <c r="B119" s="43">
        <v>1640000000</v>
      </c>
      <c r="C119" s="1"/>
      <c r="D119" s="64" t="s">
        <v>228</v>
      </c>
      <c r="E119" s="17">
        <f>E120</f>
        <v>26.5</v>
      </c>
      <c r="F119" s="17">
        <f aca="true" t="shared" si="41" ref="F119:F122">F120</f>
        <v>26.5</v>
      </c>
    </row>
    <row r="120" spans="1:6" ht="31.5">
      <c r="A120" s="42" t="s">
        <v>63</v>
      </c>
      <c r="B120" s="42">
        <v>1640200000</v>
      </c>
      <c r="C120" s="1"/>
      <c r="D120" s="64" t="s">
        <v>231</v>
      </c>
      <c r="E120" s="17">
        <f>E121</f>
        <v>26.5</v>
      </c>
      <c r="F120" s="17">
        <f t="shared" si="41"/>
        <v>26.5</v>
      </c>
    </row>
    <row r="121" spans="1:6" ht="12.75">
      <c r="A121" s="42" t="s">
        <v>63</v>
      </c>
      <c r="B121" s="42">
        <v>1640220250</v>
      </c>
      <c r="C121" s="1"/>
      <c r="D121" s="64" t="s">
        <v>229</v>
      </c>
      <c r="E121" s="17">
        <f>E122</f>
        <v>26.5</v>
      </c>
      <c r="F121" s="17">
        <f t="shared" si="41"/>
        <v>26.5</v>
      </c>
    </row>
    <row r="122" spans="1:6" ht="31.5">
      <c r="A122" s="42" t="s">
        <v>63</v>
      </c>
      <c r="B122" s="42">
        <v>1640220250</v>
      </c>
      <c r="C122" s="43" t="s">
        <v>72</v>
      </c>
      <c r="D122" s="57" t="s">
        <v>95</v>
      </c>
      <c r="E122" s="17">
        <f>E123</f>
        <v>26.5</v>
      </c>
      <c r="F122" s="17">
        <f t="shared" si="41"/>
        <v>26.5</v>
      </c>
    </row>
    <row r="123" spans="1:6" ht="31.5">
      <c r="A123" s="42" t="s">
        <v>63</v>
      </c>
      <c r="B123" s="42">
        <v>1640220250</v>
      </c>
      <c r="C123" s="42">
        <v>240</v>
      </c>
      <c r="D123" s="63" t="s">
        <v>257</v>
      </c>
      <c r="E123" s="17">
        <f>'№ 6'!F92</f>
        <v>26.5</v>
      </c>
      <c r="F123" s="17">
        <f>'№ 6'!G92</f>
        <v>26.5</v>
      </c>
    </row>
    <row r="124" spans="1:6" ht="12.75">
      <c r="A124" s="42" t="s">
        <v>63</v>
      </c>
      <c r="B124" s="42">
        <v>9900000000</v>
      </c>
      <c r="C124" s="42"/>
      <c r="D124" s="63" t="s">
        <v>107</v>
      </c>
      <c r="E124" s="17">
        <f>E133+E129+E125</f>
        <v>31979.199999999997</v>
      </c>
      <c r="F124" s="17">
        <f aca="true" t="shared" si="42" ref="F124">F133+F129+F125</f>
        <v>30811.1</v>
      </c>
    </row>
    <row r="125" spans="1:6" ht="12.75">
      <c r="A125" s="252" t="s">
        <v>63</v>
      </c>
      <c r="B125" s="252">
        <v>9910000000</v>
      </c>
      <c r="C125" s="252"/>
      <c r="D125" s="253" t="s">
        <v>9</v>
      </c>
      <c r="E125" s="17">
        <f>E126</f>
        <v>137</v>
      </c>
      <c r="F125" s="17">
        <f aca="true" t="shared" si="43" ref="F125:F127">F126</f>
        <v>137</v>
      </c>
    </row>
    <row r="126" spans="1:6" ht="31.5">
      <c r="A126" s="252" t="s">
        <v>63</v>
      </c>
      <c r="B126" s="252">
        <v>9910020000</v>
      </c>
      <c r="C126" s="252"/>
      <c r="D126" s="253" t="s">
        <v>178</v>
      </c>
      <c r="E126" s="17">
        <f>E127</f>
        <v>137</v>
      </c>
      <c r="F126" s="17">
        <f t="shared" si="43"/>
        <v>137</v>
      </c>
    </row>
    <row r="127" spans="1:6" ht="31.5">
      <c r="A127" s="252" t="s">
        <v>63</v>
      </c>
      <c r="B127" s="252">
        <v>9910020000</v>
      </c>
      <c r="C127" s="252" t="s">
        <v>72</v>
      </c>
      <c r="D127" s="253" t="s">
        <v>95</v>
      </c>
      <c r="E127" s="17">
        <f>E128</f>
        <v>137</v>
      </c>
      <c r="F127" s="17">
        <f t="shared" si="43"/>
        <v>137</v>
      </c>
    </row>
    <row r="128" spans="1:6" ht="31.5">
      <c r="A128" s="252" t="s">
        <v>63</v>
      </c>
      <c r="B128" s="252">
        <v>9910020000</v>
      </c>
      <c r="C128" s="252">
        <v>240</v>
      </c>
      <c r="D128" s="253" t="s">
        <v>257</v>
      </c>
      <c r="E128" s="17">
        <f>'№ 6'!F97</f>
        <v>137</v>
      </c>
      <c r="F128" s="17">
        <f>'№ 6'!G97</f>
        <v>137</v>
      </c>
    </row>
    <row r="129" spans="1:6" ht="31.5">
      <c r="A129" s="234" t="s">
        <v>63</v>
      </c>
      <c r="B129" s="232">
        <v>9930000000</v>
      </c>
      <c r="C129" s="232"/>
      <c r="D129" s="73" t="s">
        <v>173</v>
      </c>
      <c r="E129" s="17">
        <f>E130</f>
        <v>65</v>
      </c>
      <c r="F129" s="17">
        <f aca="true" t="shared" si="44" ref="F129:F131">F130</f>
        <v>65</v>
      </c>
    </row>
    <row r="130" spans="1:6" ht="31.5">
      <c r="A130" s="234" t="s">
        <v>63</v>
      </c>
      <c r="B130" s="232">
        <v>9930020490</v>
      </c>
      <c r="C130" s="232"/>
      <c r="D130" s="73" t="s">
        <v>334</v>
      </c>
      <c r="E130" s="17">
        <f>E131</f>
        <v>65</v>
      </c>
      <c r="F130" s="17">
        <f t="shared" si="44"/>
        <v>65</v>
      </c>
    </row>
    <row r="131" spans="1:6" ht="12.75">
      <c r="A131" s="234" t="s">
        <v>63</v>
      </c>
      <c r="B131" s="232">
        <v>9930020490</v>
      </c>
      <c r="C131" s="11" t="s">
        <v>73</v>
      </c>
      <c r="D131" s="50" t="s">
        <v>74</v>
      </c>
      <c r="E131" s="17">
        <f>E132</f>
        <v>65</v>
      </c>
      <c r="F131" s="17">
        <f t="shared" si="44"/>
        <v>65</v>
      </c>
    </row>
    <row r="132" spans="1:6" ht="12.75">
      <c r="A132" s="234" t="s">
        <v>63</v>
      </c>
      <c r="B132" s="232">
        <v>9930020490</v>
      </c>
      <c r="C132" s="1" t="s">
        <v>335</v>
      </c>
      <c r="D132" s="81" t="s">
        <v>336</v>
      </c>
      <c r="E132" s="17">
        <f>'№ 6'!F527</f>
        <v>65</v>
      </c>
      <c r="F132" s="17">
        <f>'№ 6'!G527</f>
        <v>65</v>
      </c>
    </row>
    <row r="133" spans="1:6" ht="39" customHeight="1">
      <c r="A133" s="42" t="s">
        <v>63</v>
      </c>
      <c r="B133" s="42">
        <v>9990000000</v>
      </c>
      <c r="C133" s="42"/>
      <c r="D133" s="63" t="s">
        <v>160</v>
      </c>
      <c r="E133" s="17">
        <f>E134+E146</f>
        <v>31777.199999999997</v>
      </c>
      <c r="F133" s="17">
        <f>F134+F146</f>
        <v>30609.1</v>
      </c>
    </row>
    <row r="134" spans="1:6" ht="31.5">
      <c r="A134" s="42" t="s">
        <v>63</v>
      </c>
      <c r="B134" s="42">
        <v>9990200000</v>
      </c>
      <c r="C134" s="25"/>
      <c r="D134" s="63" t="s">
        <v>120</v>
      </c>
      <c r="E134" s="17">
        <f>E143+E135+E140</f>
        <v>6058.2</v>
      </c>
      <c r="F134" s="17">
        <f>F143+F135+F140</f>
        <v>6033.2</v>
      </c>
    </row>
    <row r="135" spans="1:6" ht="78.75">
      <c r="A135" s="42" t="s">
        <v>63</v>
      </c>
      <c r="B135" s="42">
        <v>9990210540</v>
      </c>
      <c r="C135" s="42"/>
      <c r="D135" s="63" t="s">
        <v>170</v>
      </c>
      <c r="E135" s="17">
        <f>E136+E138</f>
        <v>264</v>
      </c>
      <c r="F135" s="17">
        <f>F136+F138</f>
        <v>264</v>
      </c>
    </row>
    <row r="136" spans="1:6" ht="63">
      <c r="A136" s="42" t="s">
        <v>63</v>
      </c>
      <c r="B136" s="42">
        <v>9990210540</v>
      </c>
      <c r="C136" s="42" t="s">
        <v>71</v>
      </c>
      <c r="D136" s="63" t="s">
        <v>1</v>
      </c>
      <c r="E136" s="17">
        <f>E137</f>
        <v>256.3</v>
      </c>
      <c r="F136" s="17">
        <f>F137</f>
        <v>256.3</v>
      </c>
    </row>
    <row r="137" spans="1:6" ht="31.5">
      <c r="A137" s="42" t="s">
        <v>63</v>
      </c>
      <c r="B137" s="42">
        <v>9990210540</v>
      </c>
      <c r="C137" s="42">
        <v>120</v>
      </c>
      <c r="D137" s="63" t="s">
        <v>258</v>
      </c>
      <c r="E137" s="17">
        <f>'№ 6'!F102</f>
        <v>256.3</v>
      </c>
      <c r="F137" s="17">
        <f>'№ 6'!G102</f>
        <v>256.3</v>
      </c>
    </row>
    <row r="138" spans="1:6" ht="31.5">
      <c r="A138" s="42" t="s">
        <v>63</v>
      </c>
      <c r="B138" s="42">
        <v>9990210540</v>
      </c>
      <c r="C138" s="42" t="s">
        <v>72</v>
      </c>
      <c r="D138" s="63" t="s">
        <v>95</v>
      </c>
      <c r="E138" s="17">
        <f>E139</f>
        <v>7.7</v>
      </c>
      <c r="F138" s="17">
        <f aca="true" t="shared" si="45" ref="F138">F139</f>
        <v>7.7</v>
      </c>
    </row>
    <row r="139" spans="1:6" ht="31.5">
      <c r="A139" s="42" t="s">
        <v>63</v>
      </c>
      <c r="B139" s="42">
        <v>9990210540</v>
      </c>
      <c r="C139" s="42">
        <v>240</v>
      </c>
      <c r="D139" s="63" t="s">
        <v>257</v>
      </c>
      <c r="E139" s="17">
        <f>'№ 6'!F104</f>
        <v>7.7</v>
      </c>
      <c r="F139" s="17">
        <f>'№ 6'!G104</f>
        <v>7.7</v>
      </c>
    </row>
    <row r="140" spans="1:6" ht="47.25">
      <c r="A140" s="43" t="s">
        <v>63</v>
      </c>
      <c r="B140" s="42">
        <v>9990225000</v>
      </c>
      <c r="C140" s="42"/>
      <c r="D140" s="63" t="s">
        <v>121</v>
      </c>
      <c r="E140" s="17">
        <f>E141</f>
        <v>5227.3</v>
      </c>
      <c r="F140" s="17">
        <f aca="true" t="shared" si="46" ref="F140">F141</f>
        <v>5202.3</v>
      </c>
    </row>
    <row r="141" spans="1:6" ht="63">
      <c r="A141" s="43" t="s">
        <v>63</v>
      </c>
      <c r="B141" s="42">
        <v>9990225000</v>
      </c>
      <c r="C141" s="43" t="s">
        <v>71</v>
      </c>
      <c r="D141" s="57" t="s">
        <v>1</v>
      </c>
      <c r="E141" s="17">
        <f>E142</f>
        <v>5227.3</v>
      </c>
      <c r="F141" s="17">
        <f aca="true" t="shared" si="47" ref="F141">F142</f>
        <v>5202.3</v>
      </c>
    </row>
    <row r="142" spans="1:6" ht="31.5">
      <c r="A142" s="43" t="s">
        <v>63</v>
      </c>
      <c r="B142" s="42">
        <v>9990225000</v>
      </c>
      <c r="C142" s="42">
        <v>120</v>
      </c>
      <c r="D142" s="63" t="s">
        <v>258</v>
      </c>
      <c r="E142" s="17">
        <f>'№ 6'!F532</f>
        <v>5227.3</v>
      </c>
      <c r="F142" s="17">
        <f>'№ 6'!G532</f>
        <v>5202.3</v>
      </c>
    </row>
    <row r="143" spans="1:6" ht="47.25">
      <c r="A143" s="42" t="s">
        <v>63</v>
      </c>
      <c r="B143" s="42">
        <v>9990226000</v>
      </c>
      <c r="C143" s="42"/>
      <c r="D143" s="63" t="s">
        <v>162</v>
      </c>
      <c r="E143" s="17">
        <f>E144</f>
        <v>566.9</v>
      </c>
      <c r="F143" s="17">
        <f aca="true" t="shared" si="48" ref="F143:F144">F144</f>
        <v>566.9</v>
      </c>
    </row>
    <row r="144" spans="1:6" ht="63">
      <c r="A144" s="42" t="s">
        <v>63</v>
      </c>
      <c r="B144" s="42">
        <v>9990226000</v>
      </c>
      <c r="C144" s="42" t="s">
        <v>71</v>
      </c>
      <c r="D144" s="63" t="s">
        <v>1</v>
      </c>
      <c r="E144" s="17">
        <f>E145</f>
        <v>566.9</v>
      </c>
      <c r="F144" s="17">
        <f t="shared" si="48"/>
        <v>566.9</v>
      </c>
    </row>
    <row r="145" spans="1:6" ht="31.5">
      <c r="A145" s="42" t="s">
        <v>63</v>
      </c>
      <c r="B145" s="42">
        <v>9990226000</v>
      </c>
      <c r="C145" s="42">
        <v>120</v>
      </c>
      <c r="D145" s="63" t="s">
        <v>258</v>
      </c>
      <c r="E145" s="17">
        <f>'№ 6'!F107</f>
        <v>566.9</v>
      </c>
      <c r="F145" s="17">
        <f>'№ 6'!G107</f>
        <v>566.9</v>
      </c>
    </row>
    <row r="146" spans="1:6" ht="31.5">
      <c r="A146" s="42" t="s">
        <v>63</v>
      </c>
      <c r="B146" s="42">
        <v>9990300000</v>
      </c>
      <c r="C146" s="42"/>
      <c r="D146" s="63" t="s">
        <v>175</v>
      </c>
      <c r="E146" s="17">
        <f>E147+E149+E153+E151</f>
        <v>25718.999999999996</v>
      </c>
      <c r="F146" s="17">
        <f aca="true" t="shared" si="49" ref="F146">F147+F149+F153+F151</f>
        <v>24575.899999999998</v>
      </c>
    </row>
    <row r="147" spans="1:6" ht="63">
      <c r="A147" s="42" t="s">
        <v>63</v>
      </c>
      <c r="B147" s="42">
        <v>9990300000</v>
      </c>
      <c r="C147" s="42" t="s">
        <v>71</v>
      </c>
      <c r="D147" s="63" t="s">
        <v>1</v>
      </c>
      <c r="E147" s="17">
        <f>E148</f>
        <v>18335.199999999997</v>
      </c>
      <c r="F147" s="17">
        <f aca="true" t="shared" si="50" ref="F147">F148</f>
        <v>18334</v>
      </c>
    </row>
    <row r="148" spans="1:6" ht="12.75">
      <c r="A148" s="42" t="s">
        <v>63</v>
      </c>
      <c r="B148" s="42">
        <v>9990300000</v>
      </c>
      <c r="C148" s="42">
        <v>110</v>
      </c>
      <c r="D148" s="64" t="s">
        <v>176</v>
      </c>
      <c r="E148" s="17">
        <f>'№ 6'!F110</f>
        <v>18335.199999999997</v>
      </c>
      <c r="F148" s="17">
        <f>'№ 6'!G110</f>
        <v>18334</v>
      </c>
    </row>
    <row r="149" spans="1:6" ht="31.5">
      <c r="A149" s="42" t="s">
        <v>63</v>
      </c>
      <c r="B149" s="42">
        <v>9990300000</v>
      </c>
      <c r="C149" s="42" t="s">
        <v>72</v>
      </c>
      <c r="D149" s="63" t="s">
        <v>95</v>
      </c>
      <c r="E149" s="17">
        <f>E150</f>
        <v>7313.5</v>
      </c>
      <c r="F149" s="17">
        <f aca="true" t="shared" si="51" ref="F149">F150</f>
        <v>6171.6</v>
      </c>
    </row>
    <row r="150" spans="1:6" ht="31.5">
      <c r="A150" s="42" t="s">
        <v>63</v>
      </c>
      <c r="B150" s="42">
        <v>9990300000</v>
      </c>
      <c r="C150" s="42">
        <v>240</v>
      </c>
      <c r="D150" s="63" t="s">
        <v>257</v>
      </c>
      <c r="E150" s="17">
        <f>'№ 6'!F112</f>
        <v>7313.5</v>
      </c>
      <c r="F150" s="17">
        <f>'№ 6'!G112</f>
        <v>6171.6</v>
      </c>
    </row>
    <row r="151" spans="1:6" ht="12.75">
      <c r="A151" s="252" t="s">
        <v>63</v>
      </c>
      <c r="B151" s="252">
        <v>9990300000</v>
      </c>
      <c r="C151" s="254" t="s">
        <v>76</v>
      </c>
      <c r="D151" s="253" t="s">
        <v>77</v>
      </c>
      <c r="E151" s="17">
        <f>E152</f>
        <v>42.7</v>
      </c>
      <c r="F151" s="17">
        <f aca="true" t="shared" si="52" ref="F151">F152</f>
        <v>42.7</v>
      </c>
    </row>
    <row r="152" spans="1:6" ht="31.5">
      <c r="A152" s="252" t="s">
        <v>63</v>
      </c>
      <c r="B152" s="252">
        <v>9990300000</v>
      </c>
      <c r="C152" s="252">
        <v>320</v>
      </c>
      <c r="D152" s="253" t="s">
        <v>104</v>
      </c>
      <c r="E152" s="17">
        <f>'№ 6'!F114</f>
        <v>42.7</v>
      </c>
      <c r="F152" s="17">
        <f>'№ 6'!G114</f>
        <v>42.7</v>
      </c>
    </row>
    <row r="153" spans="1:6" ht="12.75">
      <c r="A153" s="42" t="s">
        <v>63</v>
      </c>
      <c r="B153" s="42">
        <v>9990300000</v>
      </c>
      <c r="C153" s="42" t="s">
        <v>73</v>
      </c>
      <c r="D153" s="63" t="s">
        <v>74</v>
      </c>
      <c r="E153" s="17">
        <f>E154</f>
        <v>27.6</v>
      </c>
      <c r="F153" s="17">
        <f aca="true" t="shared" si="53" ref="F153">F154</f>
        <v>27.6</v>
      </c>
    </row>
    <row r="154" spans="1:6" ht="12.75">
      <c r="A154" s="42" t="s">
        <v>63</v>
      </c>
      <c r="B154" s="42">
        <v>9990300000</v>
      </c>
      <c r="C154" s="42">
        <v>850</v>
      </c>
      <c r="D154" s="63" t="s">
        <v>102</v>
      </c>
      <c r="E154" s="17">
        <f>'№ 6'!F116</f>
        <v>27.6</v>
      </c>
      <c r="F154" s="17">
        <f>'№ 6'!G116</f>
        <v>27.6</v>
      </c>
    </row>
    <row r="155" spans="1:6" ht="22.15" customHeight="1">
      <c r="A155" s="4" t="s">
        <v>58</v>
      </c>
      <c r="B155" s="4" t="s">
        <v>69</v>
      </c>
      <c r="C155" s="4" t="s">
        <v>69</v>
      </c>
      <c r="D155" s="20" t="s">
        <v>26</v>
      </c>
      <c r="E155" s="6">
        <f>E156+E171</f>
        <v>10010.8</v>
      </c>
      <c r="F155" s="6">
        <f>F156+F171</f>
        <v>10010.8</v>
      </c>
    </row>
    <row r="156" spans="1:6" ht="12.75">
      <c r="A156" s="42" t="s">
        <v>78</v>
      </c>
      <c r="B156" s="42" t="s">
        <v>69</v>
      </c>
      <c r="C156" s="42" t="s">
        <v>69</v>
      </c>
      <c r="D156" s="63" t="s">
        <v>79</v>
      </c>
      <c r="E156" s="17">
        <f>E157</f>
        <v>2274.5999999999995</v>
      </c>
      <c r="F156" s="17">
        <f aca="true" t="shared" si="54" ref="F156:F158">F157</f>
        <v>2274.6</v>
      </c>
    </row>
    <row r="157" spans="1:6" ht="12.75">
      <c r="A157" s="42" t="s">
        <v>78</v>
      </c>
      <c r="B157" s="42">
        <v>9900000000</v>
      </c>
      <c r="C157" s="42"/>
      <c r="D157" s="63" t="s">
        <v>107</v>
      </c>
      <c r="E157" s="17">
        <f>E158</f>
        <v>2274.5999999999995</v>
      </c>
      <c r="F157" s="17">
        <f t="shared" si="54"/>
        <v>2274.6</v>
      </c>
    </row>
    <row r="158" spans="1:6" ht="36" customHeight="1">
      <c r="A158" s="42" t="s">
        <v>78</v>
      </c>
      <c r="B158" s="42">
        <v>9990000000</v>
      </c>
      <c r="C158" s="42"/>
      <c r="D158" s="63" t="s">
        <v>160</v>
      </c>
      <c r="E158" s="17">
        <f>E159</f>
        <v>2274.5999999999995</v>
      </c>
      <c r="F158" s="17">
        <f t="shared" si="54"/>
        <v>2274.6</v>
      </c>
    </row>
    <row r="159" spans="1:6" ht="31.5">
      <c r="A159" s="42" t="s">
        <v>78</v>
      </c>
      <c r="B159" s="42">
        <v>9990200000</v>
      </c>
      <c r="C159" s="25"/>
      <c r="D159" s="63" t="s">
        <v>120</v>
      </c>
      <c r="E159" s="17">
        <f>E160+E166+E163</f>
        <v>2274.5999999999995</v>
      </c>
      <c r="F159" s="17">
        <f>F160+F166+F163</f>
        <v>2274.6</v>
      </c>
    </row>
    <row r="160" spans="1:6" ht="47.25">
      <c r="A160" s="42" t="s">
        <v>78</v>
      </c>
      <c r="B160" s="42">
        <v>9990226000</v>
      </c>
      <c r="C160" s="42"/>
      <c r="D160" s="63" t="s">
        <v>162</v>
      </c>
      <c r="E160" s="17">
        <f>E161</f>
        <v>131.5</v>
      </c>
      <c r="F160" s="17">
        <f aca="true" t="shared" si="55" ref="F160:F161">F161</f>
        <v>131.5</v>
      </c>
    </row>
    <row r="161" spans="1:6" ht="63">
      <c r="A161" s="42" t="s">
        <v>78</v>
      </c>
      <c r="B161" s="42">
        <v>9990226000</v>
      </c>
      <c r="C161" s="42" t="s">
        <v>71</v>
      </c>
      <c r="D161" s="63" t="s">
        <v>1</v>
      </c>
      <c r="E161" s="17">
        <f>E162</f>
        <v>131.5</v>
      </c>
      <c r="F161" s="17">
        <f t="shared" si="55"/>
        <v>131.5</v>
      </c>
    </row>
    <row r="162" spans="1:6" ht="31.5">
      <c r="A162" s="42" t="s">
        <v>78</v>
      </c>
      <c r="B162" s="42">
        <v>9990226000</v>
      </c>
      <c r="C162" s="42">
        <v>120</v>
      </c>
      <c r="D162" s="63" t="s">
        <v>258</v>
      </c>
      <c r="E162" s="17">
        <f>'№ 6'!F124</f>
        <v>131.5</v>
      </c>
      <c r="F162" s="17">
        <f>'№ 6'!G124</f>
        <v>131.5</v>
      </c>
    </row>
    <row r="163" spans="1:6" ht="171" customHeight="1">
      <c r="A163" s="264" t="s">
        <v>78</v>
      </c>
      <c r="B163" s="264">
        <v>9990258792</v>
      </c>
      <c r="C163" s="264"/>
      <c r="D163" s="256" t="s">
        <v>493</v>
      </c>
      <c r="E163" s="17">
        <f>E164</f>
        <v>177.7</v>
      </c>
      <c r="F163" s="17">
        <f>F164</f>
        <v>177.7</v>
      </c>
    </row>
    <row r="164" spans="1:6" ht="63">
      <c r="A164" s="264" t="s">
        <v>78</v>
      </c>
      <c r="B164" s="264">
        <v>9990258792</v>
      </c>
      <c r="C164" s="264" t="s">
        <v>71</v>
      </c>
      <c r="D164" s="256" t="s">
        <v>1</v>
      </c>
      <c r="E164" s="17">
        <f>E165</f>
        <v>177.7</v>
      </c>
      <c r="F164" s="17">
        <f>F165</f>
        <v>177.7</v>
      </c>
    </row>
    <row r="165" spans="1:6" ht="31.5">
      <c r="A165" s="264" t="s">
        <v>78</v>
      </c>
      <c r="B165" s="264">
        <v>9990258792</v>
      </c>
      <c r="C165" s="264">
        <v>120</v>
      </c>
      <c r="D165" s="256" t="s">
        <v>258</v>
      </c>
      <c r="E165" s="17">
        <f>'№ 6'!F127</f>
        <v>177.7</v>
      </c>
      <c r="F165" s="17">
        <f>'№ 6'!G127</f>
        <v>177.7</v>
      </c>
    </row>
    <row r="166" spans="1:7" ht="36.6" customHeight="1">
      <c r="A166" s="42" t="s">
        <v>78</v>
      </c>
      <c r="B166" s="132">
        <v>9990259302</v>
      </c>
      <c r="C166" s="42"/>
      <c r="D166" s="63" t="s">
        <v>177</v>
      </c>
      <c r="E166" s="38">
        <f>E167+E169</f>
        <v>1965.3999999999996</v>
      </c>
      <c r="F166" s="38">
        <f aca="true" t="shared" si="56" ref="F166">F167+F169</f>
        <v>1965.4</v>
      </c>
      <c r="G166" s="31"/>
    </row>
    <row r="167" spans="1:6" ht="63">
      <c r="A167" s="42" t="s">
        <v>78</v>
      </c>
      <c r="B167" s="132">
        <v>9990259302</v>
      </c>
      <c r="C167" s="42" t="s">
        <v>71</v>
      </c>
      <c r="D167" s="63" t="s">
        <v>1</v>
      </c>
      <c r="E167" s="17">
        <f>E168</f>
        <v>1536.1999999999998</v>
      </c>
      <c r="F167" s="17">
        <f aca="true" t="shared" si="57" ref="F167">F168</f>
        <v>1536.2</v>
      </c>
    </row>
    <row r="168" spans="1:6" ht="31.5">
      <c r="A168" s="42" t="s">
        <v>78</v>
      </c>
      <c r="B168" s="132">
        <v>9990259302</v>
      </c>
      <c r="C168" s="42">
        <v>120</v>
      </c>
      <c r="D168" s="63" t="s">
        <v>258</v>
      </c>
      <c r="E168" s="17">
        <f>'№ 6'!F130</f>
        <v>1536.1999999999998</v>
      </c>
      <c r="F168" s="17">
        <f>'№ 6'!G130</f>
        <v>1536.2</v>
      </c>
    </row>
    <row r="169" spans="1:6" ht="31.5">
      <c r="A169" s="42" t="s">
        <v>78</v>
      </c>
      <c r="B169" s="132">
        <v>9990259302</v>
      </c>
      <c r="C169" s="42" t="s">
        <v>72</v>
      </c>
      <c r="D169" s="63" t="s">
        <v>95</v>
      </c>
      <c r="E169" s="17">
        <f>E170</f>
        <v>429.19999999999993</v>
      </c>
      <c r="F169" s="17">
        <f aca="true" t="shared" si="58" ref="F169">F170</f>
        <v>429.2</v>
      </c>
    </row>
    <row r="170" spans="1:6" ht="31.5">
      <c r="A170" s="42" t="s">
        <v>78</v>
      </c>
      <c r="B170" s="132">
        <v>9990259302</v>
      </c>
      <c r="C170" s="42">
        <v>240</v>
      </c>
      <c r="D170" s="63" t="s">
        <v>257</v>
      </c>
      <c r="E170" s="17">
        <f>'№ 6'!F132</f>
        <v>429.19999999999993</v>
      </c>
      <c r="F170" s="17">
        <f>'№ 6'!G132</f>
        <v>429.2</v>
      </c>
    </row>
    <row r="171" spans="1:6" ht="31.5">
      <c r="A171" s="42" t="s">
        <v>50</v>
      </c>
      <c r="B171" s="42"/>
      <c r="C171" s="42"/>
      <c r="D171" s="63" t="s">
        <v>16</v>
      </c>
      <c r="E171" s="17">
        <f aca="true" t="shared" si="59" ref="E171:F176">E172</f>
        <v>7736.2</v>
      </c>
      <c r="F171" s="17">
        <f t="shared" si="59"/>
        <v>7736.2</v>
      </c>
    </row>
    <row r="172" spans="1:6" ht="31.5">
      <c r="A172" s="42" t="s">
        <v>50</v>
      </c>
      <c r="B172" s="43">
        <v>1500000000</v>
      </c>
      <c r="C172" s="42"/>
      <c r="D172" s="63" t="s">
        <v>198</v>
      </c>
      <c r="E172" s="17">
        <f t="shared" si="59"/>
        <v>7736.2</v>
      </c>
      <c r="F172" s="17">
        <f t="shared" si="59"/>
        <v>7736.2</v>
      </c>
    </row>
    <row r="173" spans="1:6" ht="12.75">
      <c r="A173" s="42" t="s">
        <v>50</v>
      </c>
      <c r="B173" s="42">
        <v>1510000000</v>
      </c>
      <c r="C173" s="42"/>
      <c r="D173" s="63" t="s">
        <v>167</v>
      </c>
      <c r="E173" s="17">
        <f t="shared" si="59"/>
        <v>7736.2</v>
      </c>
      <c r="F173" s="17">
        <f t="shared" si="59"/>
        <v>7736.2</v>
      </c>
    </row>
    <row r="174" spans="1:6" ht="47.25">
      <c r="A174" s="42" t="s">
        <v>50</v>
      </c>
      <c r="B174" s="42">
        <v>1510100000</v>
      </c>
      <c r="C174" s="42"/>
      <c r="D174" s="63" t="s">
        <v>201</v>
      </c>
      <c r="E174" s="17">
        <f>E175</f>
        <v>7736.2</v>
      </c>
      <c r="F174" s="17">
        <f t="shared" si="59"/>
        <v>7736.2</v>
      </c>
    </row>
    <row r="175" spans="1:6" ht="31.5">
      <c r="A175" s="42" t="s">
        <v>50</v>
      </c>
      <c r="B175" s="42">
        <v>1510120010</v>
      </c>
      <c r="C175" s="42"/>
      <c r="D175" s="63" t="s">
        <v>126</v>
      </c>
      <c r="E175" s="17">
        <f t="shared" si="59"/>
        <v>7736.2</v>
      </c>
      <c r="F175" s="17">
        <f t="shared" si="59"/>
        <v>7736.2</v>
      </c>
    </row>
    <row r="176" spans="1:6" ht="31.5">
      <c r="A176" s="42" t="s">
        <v>50</v>
      </c>
      <c r="B176" s="42">
        <v>1510120010</v>
      </c>
      <c r="C176" s="42">
        <v>600</v>
      </c>
      <c r="D176" s="63" t="s">
        <v>86</v>
      </c>
      <c r="E176" s="17">
        <f t="shared" si="59"/>
        <v>7736.2</v>
      </c>
      <c r="F176" s="17">
        <f t="shared" si="59"/>
        <v>7736.2</v>
      </c>
    </row>
    <row r="177" spans="1:6" ht="12.75">
      <c r="A177" s="42" t="s">
        <v>50</v>
      </c>
      <c r="B177" s="42">
        <v>1510120010</v>
      </c>
      <c r="C177" s="42">
        <v>610</v>
      </c>
      <c r="D177" s="57" t="s">
        <v>106</v>
      </c>
      <c r="E177" s="17">
        <f>'№ 6'!F139</f>
        <v>7736.2</v>
      </c>
      <c r="F177" s="17">
        <f>'№ 6'!G139</f>
        <v>7736.2</v>
      </c>
    </row>
    <row r="178" spans="1:6" ht="12.75">
      <c r="A178" s="4" t="s">
        <v>59</v>
      </c>
      <c r="B178" s="4" t="s">
        <v>69</v>
      </c>
      <c r="C178" s="4" t="s">
        <v>69</v>
      </c>
      <c r="D178" s="20" t="s">
        <v>27</v>
      </c>
      <c r="E178" s="52">
        <f>E179+E186+E237</f>
        <v>92975.9</v>
      </c>
      <c r="F178" s="52">
        <f>F179+F186+F237</f>
        <v>92551</v>
      </c>
    </row>
    <row r="179" spans="1:6" ht="12.75">
      <c r="A179" s="18" t="s">
        <v>100</v>
      </c>
      <c r="B179" s="25"/>
      <c r="C179" s="25"/>
      <c r="D179" s="63" t="s">
        <v>101</v>
      </c>
      <c r="E179" s="17">
        <f aca="true" t="shared" si="60" ref="E179:F184">E180</f>
        <v>475.8</v>
      </c>
      <c r="F179" s="17">
        <f t="shared" si="60"/>
        <v>475.8</v>
      </c>
    </row>
    <row r="180" spans="1:6" ht="33" customHeight="1">
      <c r="A180" s="18" t="s">
        <v>100</v>
      </c>
      <c r="B180" s="43">
        <v>1100000000</v>
      </c>
      <c r="C180" s="25"/>
      <c r="D180" s="63" t="s">
        <v>202</v>
      </c>
      <c r="E180" s="17">
        <f t="shared" si="60"/>
        <v>475.8</v>
      </c>
      <c r="F180" s="17">
        <f t="shared" si="60"/>
        <v>475.8</v>
      </c>
    </row>
    <row r="181" spans="1:6" ht="31.5">
      <c r="A181" s="18" t="s">
        <v>100</v>
      </c>
      <c r="B181" s="43">
        <v>1130000000</v>
      </c>
      <c r="C181" s="25"/>
      <c r="D181" s="63" t="s">
        <v>117</v>
      </c>
      <c r="E181" s="17">
        <f t="shared" si="60"/>
        <v>475.8</v>
      </c>
      <c r="F181" s="17">
        <f t="shared" si="60"/>
        <v>475.8</v>
      </c>
    </row>
    <row r="182" spans="1:6" ht="47.25">
      <c r="A182" s="18" t="s">
        <v>100</v>
      </c>
      <c r="B182" s="43">
        <v>1130300000</v>
      </c>
      <c r="C182" s="25"/>
      <c r="D182" s="63" t="s">
        <v>118</v>
      </c>
      <c r="E182" s="17">
        <f t="shared" si="60"/>
        <v>475.8</v>
      </c>
      <c r="F182" s="17">
        <f t="shared" si="60"/>
        <v>475.8</v>
      </c>
    </row>
    <row r="183" spans="1:6" ht="31.5">
      <c r="A183" s="18" t="s">
        <v>100</v>
      </c>
      <c r="B183" s="43">
        <v>1130320280</v>
      </c>
      <c r="C183" s="25"/>
      <c r="D183" s="63" t="s">
        <v>119</v>
      </c>
      <c r="E183" s="17">
        <f t="shared" si="60"/>
        <v>475.8</v>
      </c>
      <c r="F183" s="17">
        <f t="shared" si="60"/>
        <v>475.8</v>
      </c>
    </row>
    <row r="184" spans="1:6" ht="31.5">
      <c r="A184" s="18" t="s">
        <v>100</v>
      </c>
      <c r="B184" s="43">
        <v>1130320280</v>
      </c>
      <c r="C184" s="43" t="s">
        <v>97</v>
      </c>
      <c r="D184" s="57" t="s">
        <v>98</v>
      </c>
      <c r="E184" s="17">
        <f t="shared" si="60"/>
        <v>475.8</v>
      </c>
      <c r="F184" s="17">
        <f t="shared" si="60"/>
        <v>475.8</v>
      </c>
    </row>
    <row r="185" spans="1:6" ht="12.75">
      <c r="A185" s="18" t="s">
        <v>100</v>
      </c>
      <c r="B185" s="43">
        <v>1130320280</v>
      </c>
      <c r="C185" s="42">
        <v>610</v>
      </c>
      <c r="D185" s="57" t="s">
        <v>106</v>
      </c>
      <c r="E185" s="17">
        <f>'№ 6'!F147+'№ 6'!F579</f>
        <v>475.8</v>
      </c>
      <c r="F185" s="17">
        <f>'№ 6'!G147+'№ 6'!G579</f>
        <v>475.8</v>
      </c>
    </row>
    <row r="186" spans="1:6" ht="12.75">
      <c r="A186" s="42" t="s">
        <v>7</v>
      </c>
      <c r="B186" s="42" t="s">
        <v>69</v>
      </c>
      <c r="C186" s="42" t="s">
        <v>69</v>
      </c>
      <c r="D186" s="63" t="s">
        <v>90</v>
      </c>
      <c r="E186" s="17">
        <f>E187+E232</f>
        <v>90042.09999999999</v>
      </c>
      <c r="F186" s="17">
        <f aca="true" t="shared" si="61" ref="F186">F187+F232</f>
        <v>89639.8</v>
      </c>
    </row>
    <row r="187" spans="1:6" ht="47.25">
      <c r="A187" s="42" t="s">
        <v>7</v>
      </c>
      <c r="B187" s="43">
        <v>1400000000</v>
      </c>
      <c r="C187" s="42"/>
      <c r="D187" s="57" t="s">
        <v>204</v>
      </c>
      <c r="E187" s="17">
        <f>E188+E217</f>
        <v>87416.59999999999</v>
      </c>
      <c r="F187" s="17">
        <f>F188+F217</f>
        <v>87014.3</v>
      </c>
    </row>
    <row r="188" spans="1:6" ht="12.75">
      <c r="A188" s="42" t="s">
        <v>7</v>
      </c>
      <c r="B188" s="43">
        <v>1410000000</v>
      </c>
      <c r="C188" s="42"/>
      <c r="D188" s="63" t="s">
        <v>128</v>
      </c>
      <c r="E188" s="17">
        <f>E189+E193+E213+E203</f>
        <v>83297.29999999999</v>
      </c>
      <c r="F188" s="17">
        <f>F189+F193+F213+F203</f>
        <v>83047</v>
      </c>
    </row>
    <row r="189" spans="1:6" ht="12.75">
      <c r="A189" s="42" t="s">
        <v>7</v>
      </c>
      <c r="B189" s="43">
        <v>1410100000</v>
      </c>
      <c r="C189" s="25"/>
      <c r="D189" s="63" t="s">
        <v>205</v>
      </c>
      <c r="E189" s="17">
        <f>E190</f>
        <v>25457.199999999997</v>
      </c>
      <c r="F189" s="17">
        <f aca="true" t="shared" si="62" ref="F189:F191">F190</f>
        <v>25457.2</v>
      </c>
    </row>
    <row r="190" spans="1:6" ht="31.5">
      <c r="A190" s="42" t="s">
        <v>7</v>
      </c>
      <c r="B190" s="42">
        <v>1410120100</v>
      </c>
      <c r="C190" s="42"/>
      <c r="D190" s="63" t="s">
        <v>129</v>
      </c>
      <c r="E190" s="17">
        <f>E191</f>
        <v>25457.199999999997</v>
      </c>
      <c r="F190" s="17">
        <f t="shared" si="62"/>
        <v>25457.2</v>
      </c>
    </row>
    <row r="191" spans="1:6" ht="31.5">
      <c r="A191" s="42" t="s">
        <v>7</v>
      </c>
      <c r="B191" s="42">
        <v>1410120100</v>
      </c>
      <c r="C191" s="43" t="s">
        <v>72</v>
      </c>
      <c r="D191" s="57" t="s">
        <v>95</v>
      </c>
      <c r="E191" s="17">
        <f>E192</f>
        <v>25457.199999999997</v>
      </c>
      <c r="F191" s="17">
        <f t="shared" si="62"/>
        <v>25457.2</v>
      </c>
    </row>
    <row r="192" spans="1:6" ht="31.5">
      <c r="A192" s="42" t="s">
        <v>7</v>
      </c>
      <c r="B192" s="42">
        <v>1410120100</v>
      </c>
      <c r="C192" s="42">
        <v>240</v>
      </c>
      <c r="D192" s="57" t="s">
        <v>257</v>
      </c>
      <c r="E192" s="17">
        <f>'№ 6'!F154</f>
        <v>25457.199999999997</v>
      </c>
      <c r="F192" s="17">
        <f>'№ 6'!G154</f>
        <v>25457.2</v>
      </c>
    </row>
    <row r="193" spans="1:6" ht="47.25">
      <c r="A193" s="42" t="s">
        <v>7</v>
      </c>
      <c r="B193" s="43">
        <v>1410200000</v>
      </c>
      <c r="C193" s="42"/>
      <c r="D193" s="63" t="s">
        <v>206</v>
      </c>
      <c r="E193" s="17">
        <f>E197+E194+E200</f>
        <v>48277.3</v>
      </c>
      <c r="F193" s="17">
        <f aca="true" t="shared" si="63" ref="F193">F197+F194+F200</f>
        <v>48277.3</v>
      </c>
    </row>
    <row r="194" spans="1:6" ht="31.5">
      <c r="A194" s="101" t="s">
        <v>7</v>
      </c>
      <c r="B194" s="101">
        <v>1410211050</v>
      </c>
      <c r="C194" s="101"/>
      <c r="D194" s="102" t="s">
        <v>300</v>
      </c>
      <c r="E194" s="17">
        <f>E195</f>
        <v>36506.8</v>
      </c>
      <c r="F194" s="17">
        <f aca="true" t="shared" si="64" ref="F194:F195">F195</f>
        <v>36506.8</v>
      </c>
    </row>
    <row r="195" spans="1:6" ht="31.5">
      <c r="A195" s="101" t="s">
        <v>7</v>
      </c>
      <c r="B195" s="101">
        <v>1410211050</v>
      </c>
      <c r="C195" s="103" t="s">
        <v>72</v>
      </c>
      <c r="D195" s="102" t="s">
        <v>95</v>
      </c>
      <c r="E195" s="17">
        <f>E196</f>
        <v>36506.8</v>
      </c>
      <c r="F195" s="17">
        <f t="shared" si="64"/>
        <v>36506.8</v>
      </c>
    </row>
    <row r="196" spans="1:6" ht="31.5">
      <c r="A196" s="101" t="s">
        <v>7</v>
      </c>
      <c r="B196" s="101">
        <v>1410211050</v>
      </c>
      <c r="C196" s="101">
        <v>240</v>
      </c>
      <c r="D196" s="102" t="s">
        <v>257</v>
      </c>
      <c r="E196" s="17">
        <f>'№ 6'!F158</f>
        <v>36506.8</v>
      </c>
      <c r="F196" s="17">
        <f>'№ 6'!G158</f>
        <v>36506.8</v>
      </c>
    </row>
    <row r="197" spans="1:6" ht="12.75">
      <c r="A197" s="89" t="s">
        <v>7</v>
      </c>
      <c r="B197" s="89">
        <v>1410220110</v>
      </c>
      <c r="C197" s="89"/>
      <c r="D197" s="73" t="s">
        <v>283</v>
      </c>
      <c r="E197" s="17">
        <f>E198</f>
        <v>1262</v>
      </c>
      <c r="F197" s="17">
        <f aca="true" t="shared" si="65" ref="F197:F198">F198</f>
        <v>1262</v>
      </c>
    </row>
    <row r="198" spans="1:6" ht="31.5">
      <c r="A198" s="89" t="s">
        <v>7</v>
      </c>
      <c r="B198" s="89">
        <v>1410220110</v>
      </c>
      <c r="C198" s="91" t="s">
        <v>72</v>
      </c>
      <c r="D198" s="73" t="s">
        <v>95</v>
      </c>
      <c r="E198" s="17">
        <f>E199</f>
        <v>1262</v>
      </c>
      <c r="F198" s="17">
        <f t="shared" si="65"/>
        <v>1262</v>
      </c>
    </row>
    <row r="199" spans="1:6" ht="31.5">
      <c r="A199" s="89" t="s">
        <v>7</v>
      </c>
      <c r="B199" s="89">
        <v>1410220110</v>
      </c>
      <c r="C199" s="89">
        <v>240</v>
      </c>
      <c r="D199" s="73" t="s">
        <v>257</v>
      </c>
      <c r="E199" s="17">
        <f>'№ 6'!F161</f>
        <v>1262</v>
      </c>
      <c r="F199" s="17">
        <f>'№ 6'!G161</f>
        <v>1262</v>
      </c>
    </row>
    <row r="200" spans="1:6" ht="31.5">
      <c r="A200" s="132" t="s">
        <v>7</v>
      </c>
      <c r="B200" s="132" t="s">
        <v>329</v>
      </c>
      <c r="C200" s="132"/>
      <c r="D200" s="133" t="s">
        <v>330</v>
      </c>
      <c r="E200" s="17">
        <f>E201</f>
        <v>10508.5</v>
      </c>
      <c r="F200" s="17">
        <f aca="true" t="shared" si="66" ref="F200:F201">F201</f>
        <v>10508.5</v>
      </c>
    </row>
    <row r="201" spans="1:6" ht="31.5">
      <c r="A201" s="132" t="s">
        <v>7</v>
      </c>
      <c r="B201" s="132" t="s">
        <v>329</v>
      </c>
      <c r="C201" s="134" t="s">
        <v>72</v>
      </c>
      <c r="D201" s="133" t="s">
        <v>95</v>
      </c>
      <c r="E201" s="17">
        <f>E202</f>
        <v>10508.5</v>
      </c>
      <c r="F201" s="17">
        <f t="shared" si="66"/>
        <v>10508.5</v>
      </c>
    </row>
    <row r="202" spans="1:6" ht="31.5">
      <c r="A202" s="132" t="s">
        <v>7</v>
      </c>
      <c r="B202" s="132" t="s">
        <v>329</v>
      </c>
      <c r="C202" s="132">
        <v>240</v>
      </c>
      <c r="D202" s="133" t="s">
        <v>257</v>
      </c>
      <c r="E202" s="17">
        <f>'№ 6'!F164</f>
        <v>10508.5</v>
      </c>
      <c r="F202" s="17">
        <f>'№ 6'!G164</f>
        <v>10508.5</v>
      </c>
    </row>
    <row r="203" spans="1:6" ht="47.25">
      <c r="A203" s="101" t="s">
        <v>7</v>
      </c>
      <c r="B203" s="101">
        <v>1410300000</v>
      </c>
      <c r="C203" s="101"/>
      <c r="D203" s="102" t="s">
        <v>285</v>
      </c>
      <c r="E203" s="17">
        <f>E204+E210+E207</f>
        <v>7201.900000000001</v>
      </c>
      <c r="F203" s="17">
        <f aca="true" t="shared" si="67" ref="F203">F204+F210+F207</f>
        <v>7201.7</v>
      </c>
    </row>
    <row r="204" spans="1:6" ht="47.25">
      <c r="A204" s="101" t="s">
        <v>7</v>
      </c>
      <c r="B204" s="101">
        <v>1410311020</v>
      </c>
      <c r="C204" s="101"/>
      <c r="D204" s="102" t="s">
        <v>301</v>
      </c>
      <c r="E204" s="17">
        <f>E205</f>
        <v>5149.6</v>
      </c>
      <c r="F204" s="17">
        <f aca="true" t="shared" si="68" ref="F204:F205">F205</f>
        <v>5149.6</v>
      </c>
    </row>
    <row r="205" spans="1:6" ht="31.5">
      <c r="A205" s="101" t="s">
        <v>7</v>
      </c>
      <c r="B205" s="101">
        <v>1410311020</v>
      </c>
      <c r="C205" s="103" t="s">
        <v>72</v>
      </c>
      <c r="D205" s="102" t="s">
        <v>95</v>
      </c>
      <c r="E205" s="17">
        <f>E206</f>
        <v>5149.6</v>
      </c>
      <c r="F205" s="17">
        <f t="shared" si="68"/>
        <v>5149.6</v>
      </c>
    </row>
    <row r="206" spans="1:6" ht="31.5">
      <c r="A206" s="101" t="s">
        <v>7</v>
      </c>
      <c r="B206" s="101">
        <v>1410311020</v>
      </c>
      <c r="C206" s="101">
        <v>240</v>
      </c>
      <c r="D206" s="102" t="s">
        <v>257</v>
      </c>
      <c r="E206" s="17">
        <f>'№ 6'!F168</f>
        <v>5149.6</v>
      </c>
      <c r="F206" s="17">
        <f>'№ 6'!G168</f>
        <v>5149.6</v>
      </c>
    </row>
    <row r="207" spans="1:6" ht="12.75">
      <c r="A207" s="195" t="s">
        <v>7</v>
      </c>
      <c r="B207" s="195">
        <v>1410320110</v>
      </c>
      <c r="C207" s="195"/>
      <c r="D207" s="73" t="s">
        <v>283</v>
      </c>
      <c r="E207" s="17">
        <f>E208</f>
        <v>63.6</v>
      </c>
      <c r="F207" s="17">
        <f aca="true" t="shared" si="69" ref="F207:F208">F208</f>
        <v>63.4</v>
      </c>
    </row>
    <row r="208" spans="1:6" ht="31.5">
      <c r="A208" s="195" t="s">
        <v>7</v>
      </c>
      <c r="B208" s="195">
        <v>1410320110</v>
      </c>
      <c r="C208" s="196" t="s">
        <v>72</v>
      </c>
      <c r="D208" s="73" t="s">
        <v>95</v>
      </c>
      <c r="E208" s="17">
        <f>E209</f>
        <v>63.6</v>
      </c>
      <c r="F208" s="17">
        <f t="shared" si="69"/>
        <v>63.4</v>
      </c>
    </row>
    <row r="209" spans="1:6" ht="31.5">
      <c r="A209" s="195" t="s">
        <v>7</v>
      </c>
      <c r="B209" s="195">
        <v>1410320110</v>
      </c>
      <c r="C209" s="195">
        <v>240</v>
      </c>
      <c r="D209" s="73" t="s">
        <v>257</v>
      </c>
      <c r="E209" s="17">
        <f>'№ 6'!F171</f>
        <v>63.6</v>
      </c>
      <c r="F209" s="17">
        <f>'№ 6'!G171</f>
        <v>63.4</v>
      </c>
    </row>
    <row r="210" spans="1:6" ht="47.25">
      <c r="A210" s="132" t="s">
        <v>7</v>
      </c>
      <c r="B210" s="132" t="s">
        <v>331</v>
      </c>
      <c r="C210" s="132"/>
      <c r="D210" s="133" t="s">
        <v>332</v>
      </c>
      <c r="E210" s="17">
        <f>E211</f>
        <v>1988.7</v>
      </c>
      <c r="F210" s="17">
        <f aca="true" t="shared" si="70" ref="F210:F211">F211</f>
        <v>1988.7</v>
      </c>
    </row>
    <row r="211" spans="1:6" ht="31.5">
      <c r="A211" s="132" t="s">
        <v>7</v>
      </c>
      <c r="B211" s="132" t="s">
        <v>331</v>
      </c>
      <c r="C211" s="134" t="s">
        <v>72</v>
      </c>
      <c r="D211" s="133" t="s">
        <v>95</v>
      </c>
      <c r="E211" s="17">
        <f>E212</f>
        <v>1988.7</v>
      </c>
      <c r="F211" s="17">
        <f t="shared" si="70"/>
        <v>1988.7</v>
      </c>
    </row>
    <row r="212" spans="1:6" ht="31.5">
      <c r="A212" s="132" t="s">
        <v>7</v>
      </c>
      <c r="B212" s="132" t="s">
        <v>331</v>
      </c>
      <c r="C212" s="132">
        <v>240</v>
      </c>
      <c r="D212" s="133" t="s">
        <v>257</v>
      </c>
      <c r="E212" s="17">
        <f>'№ 6'!F174</f>
        <v>1988.7</v>
      </c>
      <c r="F212" s="17">
        <f>'№ 6'!G174</f>
        <v>1988.7</v>
      </c>
    </row>
    <row r="213" spans="1:6" ht="31.5">
      <c r="A213" s="101" t="s">
        <v>7</v>
      </c>
      <c r="B213" s="101">
        <v>1410400000</v>
      </c>
      <c r="C213" s="101"/>
      <c r="D213" s="102" t="s">
        <v>292</v>
      </c>
      <c r="E213" s="22">
        <f>E214</f>
        <v>2360.8999999999996</v>
      </c>
      <c r="F213" s="22">
        <f aca="true" t="shared" si="71" ref="F213">F214</f>
        <v>2110.7999999999997</v>
      </c>
    </row>
    <row r="214" spans="1:6" ht="31.5">
      <c r="A214" s="101" t="s">
        <v>7</v>
      </c>
      <c r="B214" s="101">
        <v>1410420010</v>
      </c>
      <c r="C214" s="101"/>
      <c r="D214" s="73" t="s">
        <v>291</v>
      </c>
      <c r="E214" s="22">
        <f>E215</f>
        <v>2360.8999999999996</v>
      </c>
      <c r="F214" s="22">
        <f aca="true" t="shared" si="72" ref="F214:F215">F215</f>
        <v>2110.7999999999997</v>
      </c>
    </row>
    <row r="215" spans="1:6" ht="31.5">
      <c r="A215" s="101" t="s">
        <v>7</v>
      </c>
      <c r="B215" s="101">
        <v>1410420010</v>
      </c>
      <c r="C215" s="119" t="s">
        <v>75</v>
      </c>
      <c r="D215" s="73" t="s">
        <v>96</v>
      </c>
      <c r="E215" s="22">
        <f>E216</f>
        <v>2360.8999999999996</v>
      </c>
      <c r="F215" s="22">
        <f t="shared" si="72"/>
        <v>2110.7999999999997</v>
      </c>
    </row>
    <row r="216" spans="1:6" ht="12.75">
      <c r="A216" s="101" t="s">
        <v>7</v>
      </c>
      <c r="B216" s="101">
        <v>1410420010</v>
      </c>
      <c r="C216" s="119" t="s">
        <v>122</v>
      </c>
      <c r="D216" s="73" t="s">
        <v>123</v>
      </c>
      <c r="E216" s="22">
        <f>'№ 6'!F178</f>
        <v>2360.8999999999996</v>
      </c>
      <c r="F216" s="22">
        <f>'№ 6'!G178</f>
        <v>2110.7999999999997</v>
      </c>
    </row>
    <row r="217" spans="1:6" ht="12.75">
      <c r="A217" s="42" t="s">
        <v>7</v>
      </c>
      <c r="B217" s="43">
        <v>1420000000</v>
      </c>
      <c r="C217" s="42"/>
      <c r="D217" s="63" t="s">
        <v>130</v>
      </c>
      <c r="E217" s="17">
        <f>E218+E222</f>
        <v>4119.3</v>
      </c>
      <c r="F217" s="17">
        <f aca="true" t="shared" si="73" ref="F217">F218+F222</f>
        <v>3967.2999999999997</v>
      </c>
    </row>
    <row r="218" spans="1:6" ht="31.5">
      <c r="A218" s="42" t="s">
        <v>7</v>
      </c>
      <c r="B218" s="43">
        <v>1420100000</v>
      </c>
      <c r="C218" s="42"/>
      <c r="D218" s="63" t="s">
        <v>207</v>
      </c>
      <c r="E218" s="17">
        <f>E219</f>
        <v>773.5000000000002</v>
      </c>
      <c r="F218" s="17">
        <f>F219</f>
        <v>773.5</v>
      </c>
    </row>
    <row r="219" spans="1:6" ht="12.75">
      <c r="A219" s="42" t="s">
        <v>7</v>
      </c>
      <c r="B219" s="42">
        <v>1420120120</v>
      </c>
      <c r="C219" s="42"/>
      <c r="D219" s="63" t="s">
        <v>131</v>
      </c>
      <c r="E219" s="17">
        <f>E220</f>
        <v>773.5000000000002</v>
      </c>
      <c r="F219" s="17">
        <f aca="true" t="shared" si="74" ref="F219:F220">F220</f>
        <v>773.5</v>
      </c>
    </row>
    <row r="220" spans="1:6" ht="31.5">
      <c r="A220" s="42" t="s">
        <v>7</v>
      </c>
      <c r="B220" s="42">
        <v>1420120120</v>
      </c>
      <c r="C220" s="43" t="s">
        <v>72</v>
      </c>
      <c r="D220" s="57" t="s">
        <v>95</v>
      </c>
      <c r="E220" s="17">
        <f>E221</f>
        <v>773.5000000000002</v>
      </c>
      <c r="F220" s="17">
        <f t="shared" si="74"/>
        <v>773.5</v>
      </c>
    </row>
    <row r="221" spans="1:6" ht="31.5">
      <c r="A221" s="42" t="s">
        <v>7</v>
      </c>
      <c r="B221" s="42">
        <v>1420120120</v>
      </c>
      <c r="C221" s="42">
        <v>240</v>
      </c>
      <c r="D221" s="57" t="s">
        <v>257</v>
      </c>
      <c r="E221" s="17">
        <f>'№ 6'!F183</f>
        <v>773.5000000000002</v>
      </c>
      <c r="F221" s="17">
        <f>'№ 6'!G183</f>
        <v>773.5</v>
      </c>
    </row>
    <row r="222" spans="1:6" ht="55.15" customHeight="1">
      <c r="A222" s="101" t="s">
        <v>7</v>
      </c>
      <c r="B222" s="101" t="s">
        <v>302</v>
      </c>
      <c r="C222" s="101"/>
      <c r="D222" s="102" t="s">
        <v>303</v>
      </c>
      <c r="E222" s="17">
        <f>E223+E229+E226</f>
        <v>3345.8</v>
      </c>
      <c r="F222" s="17">
        <f aca="true" t="shared" si="75" ref="F222">F223+F229+F226</f>
        <v>3193.7999999999997</v>
      </c>
    </row>
    <row r="223" spans="1:6" ht="53.45" customHeight="1">
      <c r="A223" s="101" t="s">
        <v>7</v>
      </c>
      <c r="B223" s="101" t="s">
        <v>304</v>
      </c>
      <c r="C223" s="101"/>
      <c r="D223" s="102" t="s">
        <v>305</v>
      </c>
      <c r="E223" s="17">
        <f>E224</f>
        <v>2668.3</v>
      </c>
      <c r="F223" s="17">
        <f aca="true" t="shared" si="76" ref="F223:F224">F224</f>
        <v>2546.7</v>
      </c>
    </row>
    <row r="224" spans="1:6" ht="31.5">
      <c r="A224" s="101" t="s">
        <v>7</v>
      </c>
      <c r="B224" s="101" t="s">
        <v>304</v>
      </c>
      <c r="C224" s="103" t="s">
        <v>72</v>
      </c>
      <c r="D224" s="102" t="s">
        <v>95</v>
      </c>
      <c r="E224" s="17">
        <f>E225</f>
        <v>2668.3</v>
      </c>
      <c r="F224" s="17">
        <f t="shared" si="76"/>
        <v>2546.7</v>
      </c>
    </row>
    <row r="225" spans="1:6" ht="31.5">
      <c r="A225" s="101" t="s">
        <v>7</v>
      </c>
      <c r="B225" s="101" t="s">
        <v>304</v>
      </c>
      <c r="C225" s="101">
        <v>240</v>
      </c>
      <c r="D225" s="102" t="s">
        <v>257</v>
      </c>
      <c r="E225" s="17">
        <f>'№ 6'!F187</f>
        <v>2668.3</v>
      </c>
      <c r="F225" s="17">
        <f>'№ 6'!G187</f>
        <v>2546.7</v>
      </c>
    </row>
    <row r="226" spans="1:6" ht="12.75">
      <c r="A226" s="205" t="s">
        <v>7</v>
      </c>
      <c r="B226" s="205" t="s">
        <v>383</v>
      </c>
      <c r="C226" s="205"/>
      <c r="D226" s="73" t="s">
        <v>283</v>
      </c>
      <c r="E226" s="17">
        <f>E227</f>
        <v>10.4</v>
      </c>
      <c r="F226" s="17">
        <f aca="true" t="shared" si="77" ref="F226:F227">F227</f>
        <v>10.4</v>
      </c>
    </row>
    <row r="227" spans="1:6" ht="31.5">
      <c r="A227" s="205" t="s">
        <v>7</v>
      </c>
      <c r="B227" s="205" t="s">
        <v>383</v>
      </c>
      <c r="C227" s="207" t="s">
        <v>72</v>
      </c>
      <c r="D227" s="206" t="s">
        <v>95</v>
      </c>
      <c r="E227" s="17">
        <f>E228</f>
        <v>10.4</v>
      </c>
      <c r="F227" s="17">
        <f t="shared" si="77"/>
        <v>10.4</v>
      </c>
    </row>
    <row r="228" spans="1:6" ht="31.5">
      <c r="A228" s="205" t="s">
        <v>7</v>
      </c>
      <c r="B228" s="205" t="s">
        <v>383</v>
      </c>
      <c r="C228" s="205">
        <v>240</v>
      </c>
      <c r="D228" s="206" t="s">
        <v>257</v>
      </c>
      <c r="E228" s="17">
        <f>'№ 6'!F190</f>
        <v>10.4</v>
      </c>
      <c r="F228" s="17">
        <f>'№ 6'!G190</f>
        <v>10.4</v>
      </c>
    </row>
    <row r="229" spans="1:6" ht="57.6" customHeight="1">
      <c r="A229" s="89" t="s">
        <v>7</v>
      </c>
      <c r="B229" s="100" t="s">
        <v>290</v>
      </c>
      <c r="C229" s="89"/>
      <c r="D229" s="90" t="s">
        <v>284</v>
      </c>
      <c r="E229" s="17">
        <f>E230</f>
        <v>667.1</v>
      </c>
      <c r="F229" s="17">
        <f aca="true" t="shared" si="78" ref="F229:F230">F230</f>
        <v>636.7</v>
      </c>
    </row>
    <row r="230" spans="1:6" ht="31.5">
      <c r="A230" s="89" t="s">
        <v>7</v>
      </c>
      <c r="B230" s="100" t="s">
        <v>290</v>
      </c>
      <c r="C230" s="91" t="s">
        <v>72</v>
      </c>
      <c r="D230" s="90" t="s">
        <v>95</v>
      </c>
      <c r="E230" s="17">
        <f>E231</f>
        <v>667.1</v>
      </c>
      <c r="F230" s="17">
        <f t="shared" si="78"/>
        <v>636.7</v>
      </c>
    </row>
    <row r="231" spans="1:6" ht="31.5">
      <c r="A231" s="89" t="s">
        <v>7</v>
      </c>
      <c r="B231" s="100" t="s">
        <v>290</v>
      </c>
      <c r="C231" s="89">
        <v>240</v>
      </c>
      <c r="D231" s="90" t="s">
        <v>257</v>
      </c>
      <c r="E231" s="17">
        <f>'№ 6'!F193</f>
        <v>667.1</v>
      </c>
      <c r="F231" s="17">
        <f>'№ 6'!G193</f>
        <v>636.7</v>
      </c>
    </row>
    <row r="232" spans="1:6" ht="12.75">
      <c r="A232" s="132" t="s">
        <v>7</v>
      </c>
      <c r="B232" s="134" t="s">
        <v>112</v>
      </c>
      <c r="C232" s="134" t="s">
        <v>69</v>
      </c>
      <c r="D232" s="73" t="s">
        <v>107</v>
      </c>
      <c r="E232" s="17">
        <f>E233</f>
        <v>2625.5</v>
      </c>
      <c r="F232" s="17">
        <f aca="true" t="shared" si="79" ref="F232:F235">F233</f>
        <v>2625.5</v>
      </c>
    </row>
    <row r="233" spans="1:6" ht="31.5">
      <c r="A233" s="132" t="s">
        <v>7</v>
      </c>
      <c r="B233" s="132">
        <v>9930000000</v>
      </c>
      <c r="C233" s="132"/>
      <c r="D233" s="73" t="s">
        <v>173</v>
      </c>
      <c r="E233" s="17">
        <f>E234</f>
        <v>2625.5</v>
      </c>
      <c r="F233" s="17">
        <f t="shared" si="79"/>
        <v>2625.5</v>
      </c>
    </row>
    <row r="234" spans="1:6" ht="31.5">
      <c r="A234" s="132" t="s">
        <v>7</v>
      </c>
      <c r="B234" s="132">
        <v>9930020490</v>
      </c>
      <c r="C234" s="132"/>
      <c r="D234" s="73" t="s">
        <v>334</v>
      </c>
      <c r="E234" s="17">
        <f>E235</f>
        <v>2625.5</v>
      </c>
      <c r="F234" s="17">
        <f t="shared" si="79"/>
        <v>2625.5</v>
      </c>
    </row>
    <row r="235" spans="1:6" ht="12.75">
      <c r="A235" s="132" t="s">
        <v>7</v>
      </c>
      <c r="B235" s="132">
        <v>9930020490</v>
      </c>
      <c r="C235" s="11" t="s">
        <v>73</v>
      </c>
      <c r="D235" s="50" t="s">
        <v>74</v>
      </c>
      <c r="E235" s="17">
        <f>E236</f>
        <v>2625.5</v>
      </c>
      <c r="F235" s="17">
        <f t="shared" si="79"/>
        <v>2625.5</v>
      </c>
    </row>
    <row r="236" spans="1:6" ht="12.75">
      <c r="A236" s="132" t="s">
        <v>7</v>
      </c>
      <c r="B236" s="132">
        <v>9930020490</v>
      </c>
      <c r="C236" s="1" t="s">
        <v>335</v>
      </c>
      <c r="D236" s="81" t="s">
        <v>336</v>
      </c>
      <c r="E236" s="17">
        <f>'№ 6'!F198</f>
        <v>2625.5</v>
      </c>
      <c r="F236" s="17">
        <f>'№ 6'!G198</f>
        <v>2625.5</v>
      </c>
    </row>
    <row r="237" spans="1:6" ht="12.75">
      <c r="A237" s="42" t="s">
        <v>51</v>
      </c>
      <c r="B237" s="42" t="s">
        <v>69</v>
      </c>
      <c r="C237" s="42" t="s">
        <v>69</v>
      </c>
      <c r="D237" s="63" t="s">
        <v>28</v>
      </c>
      <c r="E237" s="17">
        <f aca="true" t="shared" si="80" ref="E237:F242">E238</f>
        <v>2458</v>
      </c>
      <c r="F237" s="17">
        <f t="shared" si="80"/>
        <v>2435.4</v>
      </c>
    </row>
    <row r="238" spans="1:6" ht="47.25">
      <c r="A238" s="42" t="s">
        <v>51</v>
      </c>
      <c r="B238" s="43">
        <v>1600000000</v>
      </c>
      <c r="C238" s="25"/>
      <c r="D238" s="57" t="s">
        <v>116</v>
      </c>
      <c r="E238" s="17">
        <f>E239+E244</f>
        <v>2458</v>
      </c>
      <c r="F238" s="17">
        <f>F239+F244</f>
        <v>2435.4</v>
      </c>
    </row>
    <row r="239" spans="1:6" ht="31.5">
      <c r="A239" s="42" t="s">
        <v>51</v>
      </c>
      <c r="B239" s="43">
        <v>1610000000</v>
      </c>
      <c r="C239" s="42"/>
      <c r="D239" s="63" t="s">
        <v>234</v>
      </c>
      <c r="E239" s="17">
        <f>E240</f>
        <v>2108</v>
      </c>
      <c r="F239" s="17">
        <f aca="true" t="shared" si="81" ref="F239">F240</f>
        <v>2108</v>
      </c>
    </row>
    <row r="240" spans="1:6" ht="47.25">
      <c r="A240" s="42" t="s">
        <v>51</v>
      </c>
      <c r="B240" s="43">
        <v>1610100000</v>
      </c>
      <c r="C240" s="42"/>
      <c r="D240" s="63" t="s">
        <v>208</v>
      </c>
      <c r="E240" s="17">
        <f t="shared" si="80"/>
        <v>2108</v>
      </c>
      <c r="F240" s="17">
        <f t="shared" si="80"/>
        <v>2108</v>
      </c>
    </row>
    <row r="241" spans="1:6" ht="31.5">
      <c r="A241" s="42" t="s">
        <v>51</v>
      </c>
      <c r="B241" s="43">
        <v>1610120010</v>
      </c>
      <c r="C241" s="42"/>
      <c r="D241" s="63" t="s">
        <v>126</v>
      </c>
      <c r="E241" s="17">
        <f t="shared" si="80"/>
        <v>2108</v>
      </c>
      <c r="F241" s="17">
        <f t="shared" si="80"/>
        <v>2108</v>
      </c>
    </row>
    <row r="242" spans="1:6" ht="31.5">
      <c r="A242" s="42" t="s">
        <v>51</v>
      </c>
      <c r="B242" s="43">
        <v>1610120010</v>
      </c>
      <c r="C242" s="43" t="s">
        <v>97</v>
      </c>
      <c r="D242" s="57" t="s">
        <v>98</v>
      </c>
      <c r="E242" s="17">
        <f t="shared" si="80"/>
        <v>2108</v>
      </c>
      <c r="F242" s="17">
        <f t="shared" si="80"/>
        <v>2108</v>
      </c>
    </row>
    <row r="243" spans="1:6" ht="12.75">
      <c r="A243" s="42" t="s">
        <v>51</v>
      </c>
      <c r="B243" s="43">
        <v>1610120010</v>
      </c>
      <c r="C243" s="42">
        <v>610</v>
      </c>
      <c r="D243" s="57" t="s">
        <v>106</v>
      </c>
      <c r="E243" s="17">
        <f>'№ 6'!F205</f>
        <v>2108</v>
      </c>
      <c r="F243" s="17">
        <f>'№ 6'!G205</f>
        <v>2108</v>
      </c>
    </row>
    <row r="244" spans="1:6" ht="36" customHeight="1">
      <c r="A244" s="43" t="s">
        <v>51</v>
      </c>
      <c r="B244" s="43">
        <v>1620000000</v>
      </c>
      <c r="C244" s="43"/>
      <c r="D244" s="57" t="s">
        <v>109</v>
      </c>
      <c r="E244" s="17">
        <f aca="true" t="shared" si="82" ref="E244:F247">E245</f>
        <v>350</v>
      </c>
      <c r="F244" s="17">
        <f t="shared" si="82"/>
        <v>327.4</v>
      </c>
    </row>
    <row r="245" spans="1:6" ht="12.75">
      <c r="A245" s="43" t="s">
        <v>51</v>
      </c>
      <c r="B245" s="43">
        <v>1620100000</v>
      </c>
      <c r="C245" s="43"/>
      <c r="D245" s="57" t="s">
        <v>110</v>
      </c>
      <c r="E245" s="17">
        <f t="shared" si="82"/>
        <v>350</v>
      </c>
      <c r="F245" s="17">
        <f t="shared" si="82"/>
        <v>327.4</v>
      </c>
    </row>
    <row r="246" spans="1:6" ht="31.5">
      <c r="A246" s="43" t="s">
        <v>51</v>
      </c>
      <c r="B246" s="43">
        <v>1620120240</v>
      </c>
      <c r="C246" s="43"/>
      <c r="D246" s="57" t="s">
        <v>113</v>
      </c>
      <c r="E246" s="17">
        <f t="shared" si="82"/>
        <v>350</v>
      </c>
      <c r="F246" s="17">
        <f t="shared" si="82"/>
        <v>327.4</v>
      </c>
    </row>
    <row r="247" spans="1:6" ht="31.5">
      <c r="A247" s="43" t="s">
        <v>51</v>
      </c>
      <c r="B247" s="43">
        <v>1620120240</v>
      </c>
      <c r="C247" s="43" t="s">
        <v>72</v>
      </c>
      <c r="D247" s="57" t="s">
        <v>95</v>
      </c>
      <c r="E247" s="17">
        <f t="shared" si="82"/>
        <v>350</v>
      </c>
      <c r="F247" s="17">
        <f t="shared" si="82"/>
        <v>327.4</v>
      </c>
    </row>
    <row r="248" spans="1:6" ht="31.5">
      <c r="A248" s="43" t="s">
        <v>51</v>
      </c>
      <c r="B248" s="43">
        <v>1620120240</v>
      </c>
      <c r="C248" s="42">
        <v>240</v>
      </c>
      <c r="D248" s="57" t="s">
        <v>257</v>
      </c>
      <c r="E248" s="17">
        <f>'№ 6'!F540</f>
        <v>350</v>
      </c>
      <c r="F248" s="17">
        <f>'№ 6'!G540</f>
        <v>327.4</v>
      </c>
    </row>
    <row r="249" spans="1:6" ht="12.75">
      <c r="A249" s="4" t="s">
        <v>60</v>
      </c>
      <c r="B249" s="4" t="s">
        <v>69</v>
      </c>
      <c r="C249" s="4" t="s">
        <v>69</v>
      </c>
      <c r="D249" s="20" t="s">
        <v>29</v>
      </c>
      <c r="E249" s="6">
        <f>E250+E268+E257</f>
        <v>41884.700000000004</v>
      </c>
      <c r="F249" s="6">
        <f>F250+F268+F257</f>
        <v>41835.700000000004</v>
      </c>
    </row>
    <row r="250" spans="1:6" ht="12.75">
      <c r="A250" s="43" t="s">
        <v>5</v>
      </c>
      <c r="B250" s="43" t="s">
        <v>69</v>
      </c>
      <c r="C250" s="43" t="s">
        <v>69</v>
      </c>
      <c r="D250" s="57" t="s">
        <v>6</v>
      </c>
      <c r="E250" s="17">
        <f aca="true" t="shared" si="83" ref="E250:F255">E251</f>
        <v>2549</v>
      </c>
      <c r="F250" s="17">
        <f t="shared" si="83"/>
        <v>2549</v>
      </c>
    </row>
    <row r="251" spans="1:6" ht="47.25">
      <c r="A251" s="43" t="s">
        <v>5</v>
      </c>
      <c r="B251" s="43">
        <v>1600000000</v>
      </c>
      <c r="C251" s="43"/>
      <c r="D251" s="57" t="s">
        <v>116</v>
      </c>
      <c r="E251" s="17">
        <f t="shared" si="83"/>
        <v>2549</v>
      </c>
      <c r="F251" s="17">
        <f t="shared" si="83"/>
        <v>2549</v>
      </c>
    </row>
    <row r="252" spans="1:6" ht="37.9" customHeight="1">
      <c r="A252" s="43" t="s">
        <v>5</v>
      </c>
      <c r="B252" s="43">
        <v>1620000000</v>
      </c>
      <c r="C252" s="43"/>
      <c r="D252" s="57" t="s">
        <v>109</v>
      </c>
      <c r="E252" s="17">
        <f t="shared" si="83"/>
        <v>2549</v>
      </c>
      <c r="F252" s="17">
        <f t="shared" si="83"/>
        <v>2549</v>
      </c>
    </row>
    <row r="253" spans="1:6" ht="12.75">
      <c r="A253" s="43" t="s">
        <v>5</v>
      </c>
      <c r="B253" s="43">
        <v>1620100000</v>
      </c>
      <c r="C253" s="43"/>
      <c r="D253" s="57" t="s">
        <v>110</v>
      </c>
      <c r="E253" s="17">
        <f t="shared" si="83"/>
        <v>2549</v>
      </c>
      <c r="F253" s="17">
        <f t="shared" si="83"/>
        <v>2549</v>
      </c>
    </row>
    <row r="254" spans="1:6" ht="47.25">
      <c r="A254" s="43" t="s">
        <v>5</v>
      </c>
      <c r="B254" s="43">
        <v>1620120230</v>
      </c>
      <c r="C254" s="43"/>
      <c r="D254" s="57" t="s">
        <v>115</v>
      </c>
      <c r="E254" s="17">
        <f t="shared" si="83"/>
        <v>2549</v>
      </c>
      <c r="F254" s="17">
        <f t="shared" si="83"/>
        <v>2549</v>
      </c>
    </row>
    <row r="255" spans="1:6" ht="31.5">
      <c r="A255" s="43" t="s">
        <v>5</v>
      </c>
      <c r="B255" s="43">
        <v>1620120230</v>
      </c>
      <c r="C255" s="43" t="s">
        <v>72</v>
      </c>
      <c r="D255" s="57" t="s">
        <v>95</v>
      </c>
      <c r="E255" s="17">
        <f t="shared" si="83"/>
        <v>2549</v>
      </c>
      <c r="F255" s="17">
        <f t="shared" si="83"/>
        <v>2549</v>
      </c>
    </row>
    <row r="256" spans="1:6" ht="31.5">
      <c r="A256" s="43" t="s">
        <v>5</v>
      </c>
      <c r="B256" s="43">
        <v>1620120230</v>
      </c>
      <c r="C256" s="42">
        <v>240</v>
      </c>
      <c r="D256" s="57" t="s">
        <v>257</v>
      </c>
      <c r="E256" s="17">
        <f>'№ 6'!F548</f>
        <v>2549</v>
      </c>
      <c r="F256" s="17">
        <f>'№ 6'!G548</f>
        <v>2549</v>
      </c>
    </row>
    <row r="257" spans="1:6" ht="12.75">
      <c r="A257" s="23" t="s">
        <v>293</v>
      </c>
      <c r="B257" s="101"/>
      <c r="C257" s="101"/>
      <c r="D257" s="104" t="s">
        <v>294</v>
      </c>
      <c r="E257" s="17">
        <f>E258</f>
        <v>2359</v>
      </c>
      <c r="F257" s="17">
        <f>F258</f>
        <v>2357</v>
      </c>
    </row>
    <row r="258" spans="1:6" ht="47.25">
      <c r="A258" s="23" t="s">
        <v>293</v>
      </c>
      <c r="B258" s="103">
        <v>1400000000</v>
      </c>
      <c r="C258" s="101"/>
      <c r="D258" s="73" t="s">
        <v>204</v>
      </c>
      <c r="E258" s="17">
        <f>E259</f>
        <v>2359</v>
      </c>
      <c r="F258" s="17">
        <f aca="true" t="shared" si="84" ref="F258">F259</f>
        <v>2357</v>
      </c>
    </row>
    <row r="259" spans="1:6" ht="12.75">
      <c r="A259" s="23" t="s">
        <v>293</v>
      </c>
      <c r="B259" s="103">
        <v>1430000000</v>
      </c>
      <c r="C259" s="101"/>
      <c r="D259" s="8" t="s">
        <v>295</v>
      </c>
      <c r="E259" s="17">
        <f>E260+E264</f>
        <v>2359</v>
      </c>
      <c r="F259" s="17">
        <f>F260+F264</f>
        <v>2357</v>
      </c>
    </row>
    <row r="260" spans="1:6" ht="40.9" customHeight="1">
      <c r="A260" s="23" t="s">
        <v>293</v>
      </c>
      <c r="B260" s="101">
        <v>1430100000</v>
      </c>
      <c r="C260" s="101"/>
      <c r="D260" s="8" t="s">
        <v>296</v>
      </c>
      <c r="E260" s="17">
        <f>E261</f>
        <v>789</v>
      </c>
      <c r="F260" s="17">
        <f aca="true" t="shared" si="85" ref="F260">F261</f>
        <v>789</v>
      </c>
    </row>
    <row r="261" spans="1:6" ht="12.75">
      <c r="A261" s="23" t="s">
        <v>293</v>
      </c>
      <c r="B261" s="101">
        <v>1430120100</v>
      </c>
      <c r="C261" s="101"/>
      <c r="D261" s="50" t="s">
        <v>297</v>
      </c>
      <c r="E261" s="17">
        <f>E262</f>
        <v>789</v>
      </c>
      <c r="F261" s="17">
        <f aca="true" t="shared" si="86" ref="F261:F262">F262</f>
        <v>789</v>
      </c>
    </row>
    <row r="262" spans="1:6" ht="31.5">
      <c r="A262" s="23" t="s">
        <v>293</v>
      </c>
      <c r="B262" s="101">
        <v>1430120100</v>
      </c>
      <c r="C262" s="103" t="s">
        <v>75</v>
      </c>
      <c r="D262" s="73" t="s">
        <v>96</v>
      </c>
      <c r="E262" s="17">
        <f>E263</f>
        <v>789</v>
      </c>
      <c r="F262" s="17">
        <f t="shared" si="86"/>
        <v>789</v>
      </c>
    </row>
    <row r="263" spans="1:6" ht="12.75">
      <c r="A263" s="23" t="s">
        <v>293</v>
      </c>
      <c r="B263" s="101">
        <v>1430120100</v>
      </c>
      <c r="C263" s="103" t="s">
        <v>122</v>
      </c>
      <c r="D263" s="73" t="s">
        <v>123</v>
      </c>
      <c r="E263" s="17">
        <f>'№ 6'!F213</f>
        <v>789</v>
      </c>
      <c r="F263" s="17">
        <f>'№ 6'!G213</f>
        <v>789</v>
      </c>
    </row>
    <row r="264" spans="1:6" ht="31.5">
      <c r="A264" s="23" t="s">
        <v>293</v>
      </c>
      <c r="B264" s="208">
        <v>1430400000</v>
      </c>
      <c r="C264" s="210"/>
      <c r="D264" s="73" t="s">
        <v>386</v>
      </c>
      <c r="E264" s="17">
        <f>E265</f>
        <v>1570</v>
      </c>
      <c r="F264" s="17">
        <f aca="true" t="shared" si="87" ref="F264:F266">F265</f>
        <v>1568</v>
      </c>
    </row>
    <row r="265" spans="1:6" ht="12.75">
      <c r="A265" s="23" t="s">
        <v>293</v>
      </c>
      <c r="B265" s="208">
        <v>1430420100</v>
      </c>
      <c r="C265" s="210"/>
      <c r="D265" s="73" t="s">
        <v>297</v>
      </c>
      <c r="E265" s="17">
        <f>E266</f>
        <v>1570</v>
      </c>
      <c r="F265" s="17">
        <f t="shared" si="87"/>
        <v>1568</v>
      </c>
    </row>
    <row r="266" spans="1:6" ht="31.5">
      <c r="A266" s="23" t="s">
        <v>293</v>
      </c>
      <c r="B266" s="208">
        <v>1430420100</v>
      </c>
      <c r="C266" s="210" t="s">
        <v>75</v>
      </c>
      <c r="D266" s="73" t="s">
        <v>96</v>
      </c>
      <c r="E266" s="17">
        <f>E267</f>
        <v>1570</v>
      </c>
      <c r="F266" s="17">
        <f t="shared" si="87"/>
        <v>1568</v>
      </c>
    </row>
    <row r="267" spans="1:6" ht="12.75">
      <c r="A267" s="23" t="s">
        <v>293</v>
      </c>
      <c r="B267" s="208">
        <v>1430420100</v>
      </c>
      <c r="C267" s="210" t="s">
        <v>122</v>
      </c>
      <c r="D267" s="73" t="s">
        <v>123</v>
      </c>
      <c r="E267" s="17">
        <f>'№ 6'!F217</f>
        <v>1570</v>
      </c>
      <c r="F267" s="17">
        <f>'№ 6'!G217</f>
        <v>1568</v>
      </c>
    </row>
    <row r="268" spans="1:6" ht="12.75">
      <c r="A268" s="42" t="s">
        <v>52</v>
      </c>
      <c r="B268" s="42" t="s">
        <v>69</v>
      </c>
      <c r="C268" s="42" t="s">
        <v>69</v>
      </c>
      <c r="D268" s="63" t="s">
        <v>30</v>
      </c>
      <c r="E268" s="17">
        <f>E269+E313</f>
        <v>36976.700000000004</v>
      </c>
      <c r="F268" s="17">
        <f aca="true" t="shared" si="88" ref="F268">F269+F313</f>
        <v>36929.700000000004</v>
      </c>
    </row>
    <row r="269" spans="1:6" ht="47.25">
      <c r="A269" s="42" t="s">
        <v>52</v>
      </c>
      <c r="B269" s="43">
        <v>1300000000</v>
      </c>
      <c r="C269" s="42"/>
      <c r="D269" s="63" t="s">
        <v>203</v>
      </c>
      <c r="E269" s="17">
        <f>E270+E285+E305</f>
        <v>36684.3</v>
      </c>
      <c r="F269" s="17">
        <f>F270+F285+F305</f>
        <v>36637.3</v>
      </c>
    </row>
    <row r="270" spans="1:6" ht="47.25">
      <c r="A270" s="42" t="s">
        <v>52</v>
      </c>
      <c r="B270" s="43">
        <v>1310000000</v>
      </c>
      <c r="C270" s="42"/>
      <c r="D270" s="63" t="s">
        <v>243</v>
      </c>
      <c r="E270" s="22">
        <f>E271+E278</f>
        <v>17359.7</v>
      </c>
      <c r="F270" s="22">
        <f aca="true" t="shared" si="89" ref="F270">F271+F278</f>
        <v>17314.1</v>
      </c>
    </row>
    <row r="271" spans="1:6" ht="47.25">
      <c r="A271" s="42" t="s">
        <v>52</v>
      </c>
      <c r="B271" s="85" t="s">
        <v>276</v>
      </c>
      <c r="C271" s="25"/>
      <c r="D271" s="84" t="s">
        <v>272</v>
      </c>
      <c r="E271" s="22">
        <f>E275+E272</f>
        <v>16280.8</v>
      </c>
      <c r="F271" s="22">
        <f aca="true" t="shared" si="90" ref="F271">F275+F272</f>
        <v>16280.199999999999</v>
      </c>
    </row>
    <row r="272" spans="1:6" ht="12.75">
      <c r="A272" s="89" t="s">
        <v>52</v>
      </c>
      <c r="B272" s="89" t="s">
        <v>289</v>
      </c>
      <c r="C272" s="89"/>
      <c r="D272" s="93" t="s">
        <v>282</v>
      </c>
      <c r="E272" s="22">
        <f>E273</f>
        <v>1184.8</v>
      </c>
      <c r="F272" s="22">
        <f aca="true" t="shared" si="91" ref="F272:F273">F273</f>
        <v>1184.3</v>
      </c>
    </row>
    <row r="273" spans="1:6" ht="31.5">
      <c r="A273" s="89" t="s">
        <v>52</v>
      </c>
      <c r="B273" s="89" t="s">
        <v>289</v>
      </c>
      <c r="C273" s="91" t="s">
        <v>72</v>
      </c>
      <c r="D273" s="73" t="s">
        <v>95</v>
      </c>
      <c r="E273" s="22">
        <f>E274</f>
        <v>1184.8</v>
      </c>
      <c r="F273" s="22">
        <f t="shared" si="91"/>
        <v>1184.3</v>
      </c>
    </row>
    <row r="274" spans="1:6" ht="31.5">
      <c r="A274" s="89" t="s">
        <v>52</v>
      </c>
      <c r="B274" s="89" t="s">
        <v>289</v>
      </c>
      <c r="C274" s="89">
        <v>240</v>
      </c>
      <c r="D274" s="73" t="s">
        <v>257</v>
      </c>
      <c r="E274" s="22">
        <f>'№ 6'!F224</f>
        <v>1184.8</v>
      </c>
      <c r="F274" s="22">
        <f>'№ 6'!G224</f>
        <v>1184.3</v>
      </c>
    </row>
    <row r="275" spans="1:6" ht="22.15" customHeight="1">
      <c r="A275" s="53" t="s">
        <v>52</v>
      </c>
      <c r="B275" s="85" t="s">
        <v>277</v>
      </c>
      <c r="C275" s="83"/>
      <c r="D275" s="62" t="s">
        <v>253</v>
      </c>
      <c r="E275" s="22">
        <f>E276</f>
        <v>15096</v>
      </c>
      <c r="F275" s="22">
        <f aca="true" t="shared" si="92" ref="F275:F276">F276</f>
        <v>15095.9</v>
      </c>
    </row>
    <row r="276" spans="1:6" ht="31.5">
      <c r="A276" s="42" t="s">
        <v>52</v>
      </c>
      <c r="B276" s="85" t="s">
        <v>277</v>
      </c>
      <c r="C276" s="85" t="s">
        <v>72</v>
      </c>
      <c r="D276" s="84" t="s">
        <v>95</v>
      </c>
      <c r="E276" s="22">
        <f>E277</f>
        <v>15096</v>
      </c>
      <c r="F276" s="22">
        <f t="shared" si="92"/>
        <v>15095.9</v>
      </c>
    </row>
    <row r="277" spans="1:6" ht="31.5">
      <c r="A277" s="42" t="s">
        <v>52</v>
      </c>
      <c r="B277" s="85" t="s">
        <v>277</v>
      </c>
      <c r="C277" s="83">
        <v>240</v>
      </c>
      <c r="D277" s="84" t="s">
        <v>257</v>
      </c>
      <c r="E277" s="22">
        <f>'№ 6'!F227</f>
        <v>15096</v>
      </c>
      <c r="F277" s="22">
        <f>'№ 6'!G227</f>
        <v>15095.9</v>
      </c>
    </row>
    <row r="278" spans="1:6" ht="31.5">
      <c r="A278" s="108" t="s">
        <v>52</v>
      </c>
      <c r="B278" s="110">
        <v>1310300000</v>
      </c>
      <c r="C278" s="108"/>
      <c r="D278" s="216" t="s">
        <v>316</v>
      </c>
      <c r="E278" s="22">
        <f>E279+E282</f>
        <v>1078.9</v>
      </c>
      <c r="F278" s="22">
        <f aca="true" t="shared" si="93" ref="F278">F279+F282</f>
        <v>1033.9</v>
      </c>
    </row>
    <row r="279" spans="1:6" ht="12.75">
      <c r="A279" s="108" t="s">
        <v>52</v>
      </c>
      <c r="B279" s="110">
        <v>1310311180</v>
      </c>
      <c r="C279" s="108"/>
      <c r="D279" s="3" t="s">
        <v>314</v>
      </c>
      <c r="E279" s="22">
        <f>E280</f>
        <v>1000</v>
      </c>
      <c r="F279" s="22">
        <f aca="true" t="shared" si="94" ref="F279:F280">F280</f>
        <v>955</v>
      </c>
    </row>
    <row r="280" spans="1:6" ht="31.5">
      <c r="A280" s="108" t="s">
        <v>52</v>
      </c>
      <c r="B280" s="110">
        <v>1310311180</v>
      </c>
      <c r="C280" s="110" t="s">
        <v>72</v>
      </c>
      <c r="D280" s="109" t="s">
        <v>95</v>
      </c>
      <c r="E280" s="22">
        <f>E281</f>
        <v>1000</v>
      </c>
      <c r="F280" s="22">
        <f t="shared" si="94"/>
        <v>955</v>
      </c>
    </row>
    <row r="281" spans="1:6" ht="31.5">
      <c r="A281" s="108" t="s">
        <v>52</v>
      </c>
      <c r="B281" s="110">
        <v>1310311180</v>
      </c>
      <c r="C281" s="108">
        <v>240</v>
      </c>
      <c r="D281" s="109" t="s">
        <v>257</v>
      </c>
      <c r="E281" s="22">
        <f>'№ 6'!F231</f>
        <v>1000</v>
      </c>
      <c r="F281" s="22">
        <f>'№ 6'!G231</f>
        <v>955</v>
      </c>
    </row>
    <row r="282" spans="1:6" ht="12.75">
      <c r="A282" s="132" t="s">
        <v>52</v>
      </c>
      <c r="B282" s="134">
        <v>1310320100</v>
      </c>
      <c r="C282" s="132"/>
      <c r="D282" s="93" t="s">
        <v>282</v>
      </c>
      <c r="E282" s="22">
        <f>E283</f>
        <v>78.9</v>
      </c>
      <c r="F282" s="22">
        <f aca="true" t="shared" si="95" ref="F282:F283">F283</f>
        <v>78.9</v>
      </c>
    </row>
    <row r="283" spans="1:6" ht="31.5">
      <c r="A283" s="132" t="s">
        <v>52</v>
      </c>
      <c r="B283" s="134">
        <v>1310320100</v>
      </c>
      <c r="C283" s="134" t="s">
        <v>72</v>
      </c>
      <c r="D283" s="133" t="s">
        <v>95</v>
      </c>
      <c r="E283" s="22">
        <f>E284</f>
        <v>78.9</v>
      </c>
      <c r="F283" s="22">
        <f t="shared" si="95"/>
        <v>78.9</v>
      </c>
    </row>
    <row r="284" spans="1:6" ht="31.5">
      <c r="A284" s="132" t="s">
        <v>52</v>
      </c>
      <c r="B284" s="134">
        <v>1310320100</v>
      </c>
      <c r="C284" s="132">
        <v>240</v>
      </c>
      <c r="D284" s="133" t="s">
        <v>257</v>
      </c>
      <c r="E284" s="22">
        <f>'№ 6'!F234</f>
        <v>78.9</v>
      </c>
      <c r="F284" s="22">
        <f>'№ 6'!G234</f>
        <v>78.9</v>
      </c>
    </row>
    <row r="285" spans="1:6" ht="22.15" customHeight="1">
      <c r="A285" s="42" t="s">
        <v>52</v>
      </c>
      <c r="B285" s="43">
        <v>1320000000</v>
      </c>
      <c r="C285" s="42"/>
      <c r="D285" s="63" t="s">
        <v>209</v>
      </c>
      <c r="E285" s="22">
        <f>E286</f>
        <v>18962.7</v>
      </c>
      <c r="F285" s="22">
        <f aca="true" t="shared" si="96" ref="F285">F286</f>
        <v>18961.300000000003</v>
      </c>
    </row>
    <row r="286" spans="1:6" ht="12.75">
      <c r="A286" s="42" t="s">
        <v>52</v>
      </c>
      <c r="B286" s="43">
        <v>1320200000</v>
      </c>
      <c r="C286" s="42"/>
      <c r="D286" s="57" t="s">
        <v>132</v>
      </c>
      <c r="E286" s="17">
        <f>E287+E290+E293+E296+E302+E299</f>
        <v>18962.7</v>
      </c>
      <c r="F286" s="17">
        <f aca="true" t="shared" si="97" ref="F286">F287+F290+F293+F296+F302+F299</f>
        <v>18961.300000000003</v>
      </c>
    </row>
    <row r="287" spans="1:6" ht="12.75">
      <c r="A287" s="42" t="s">
        <v>52</v>
      </c>
      <c r="B287" s="42">
        <v>1320220050</v>
      </c>
      <c r="C287" s="42"/>
      <c r="D287" s="57" t="s">
        <v>133</v>
      </c>
      <c r="E287" s="17">
        <f>E288</f>
        <v>15257.9</v>
      </c>
      <c r="F287" s="17">
        <f aca="true" t="shared" si="98" ref="F287:F288">F288</f>
        <v>15257.9</v>
      </c>
    </row>
    <row r="288" spans="1:6" ht="31.5">
      <c r="A288" s="42" t="s">
        <v>52</v>
      </c>
      <c r="B288" s="42">
        <v>1320220050</v>
      </c>
      <c r="C288" s="43" t="s">
        <v>72</v>
      </c>
      <c r="D288" s="57" t="s">
        <v>95</v>
      </c>
      <c r="E288" s="17">
        <f>E289</f>
        <v>15257.9</v>
      </c>
      <c r="F288" s="17">
        <f t="shared" si="98"/>
        <v>15257.9</v>
      </c>
    </row>
    <row r="289" spans="1:6" ht="31.5">
      <c r="A289" s="42" t="s">
        <v>52</v>
      </c>
      <c r="B289" s="42">
        <v>1320220050</v>
      </c>
      <c r="C289" s="42">
        <v>240</v>
      </c>
      <c r="D289" s="57" t="s">
        <v>257</v>
      </c>
      <c r="E289" s="17">
        <f>'№ 6'!F239</f>
        <v>15257.9</v>
      </c>
      <c r="F289" s="17">
        <f>'№ 6'!G239</f>
        <v>15257.9</v>
      </c>
    </row>
    <row r="290" spans="1:6" ht="12.75">
      <c r="A290" s="42" t="s">
        <v>52</v>
      </c>
      <c r="B290" s="42">
        <v>1320220060</v>
      </c>
      <c r="C290" s="42"/>
      <c r="D290" s="57" t="s">
        <v>134</v>
      </c>
      <c r="E290" s="17">
        <f>E291</f>
        <v>884.4</v>
      </c>
      <c r="F290" s="17">
        <f aca="true" t="shared" si="99" ref="F290:F291">F291</f>
        <v>884.1</v>
      </c>
    </row>
    <row r="291" spans="1:6" ht="31.5">
      <c r="A291" s="42" t="s">
        <v>52</v>
      </c>
      <c r="B291" s="42">
        <v>1320220060</v>
      </c>
      <c r="C291" s="43" t="s">
        <v>72</v>
      </c>
      <c r="D291" s="57" t="s">
        <v>95</v>
      </c>
      <c r="E291" s="17">
        <f>E292</f>
        <v>884.4</v>
      </c>
      <c r="F291" s="17">
        <f t="shared" si="99"/>
        <v>884.1</v>
      </c>
    </row>
    <row r="292" spans="1:6" ht="31.5">
      <c r="A292" s="42" t="s">
        <v>52</v>
      </c>
      <c r="B292" s="42">
        <v>1320220060</v>
      </c>
      <c r="C292" s="42">
        <v>240</v>
      </c>
      <c r="D292" s="57" t="s">
        <v>257</v>
      </c>
      <c r="E292" s="17">
        <f>'№ 6'!F242</f>
        <v>884.4</v>
      </c>
      <c r="F292" s="17">
        <f>'№ 6'!G242</f>
        <v>884.1</v>
      </c>
    </row>
    <row r="293" spans="1:6" ht="12.75">
      <c r="A293" s="42" t="s">
        <v>52</v>
      </c>
      <c r="B293" s="42">
        <v>1320220070</v>
      </c>
      <c r="C293" s="42"/>
      <c r="D293" s="57" t="s">
        <v>135</v>
      </c>
      <c r="E293" s="17">
        <f>E294</f>
        <v>2712.3999999999996</v>
      </c>
      <c r="F293" s="17">
        <f aca="true" t="shared" si="100" ref="F293:F294">F294</f>
        <v>2712.4</v>
      </c>
    </row>
    <row r="294" spans="1:6" ht="31.5">
      <c r="A294" s="42" t="s">
        <v>52</v>
      </c>
      <c r="B294" s="42">
        <v>1320220070</v>
      </c>
      <c r="C294" s="43" t="s">
        <v>72</v>
      </c>
      <c r="D294" s="57" t="s">
        <v>95</v>
      </c>
      <c r="E294" s="17">
        <f>E295</f>
        <v>2712.3999999999996</v>
      </c>
      <c r="F294" s="17">
        <f t="shared" si="100"/>
        <v>2712.4</v>
      </c>
    </row>
    <row r="295" spans="1:6" ht="31.5">
      <c r="A295" s="42" t="s">
        <v>52</v>
      </c>
      <c r="B295" s="42">
        <v>1320220070</v>
      </c>
      <c r="C295" s="42">
        <v>240</v>
      </c>
      <c r="D295" s="57" t="s">
        <v>257</v>
      </c>
      <c r="E295" s="17">
        <f>'№ 6'!F245</f>
        <v>2712.3999999999996</v>
      </c>
      <c r="F295" s="17">
        <f>'№ 6'!G245</f>
        <v>2712.4</v>
      </c>
    </row>
    <row r="296" spans="1:6" ht="12.75">
      <c r="A296" s="42" t="s">
        <v>52</v>
      </c>
      <c r="B296" s="42">
        <v>1320220080</v>
      </c>
      <c r="C296" s="42"/>
      <c r="D296" s="57" t="s">
        <v>136</v>
      </c>
      <c r="E296" s="17">
        <f>E297</f>
        <v>60.7</v>
      </c>
      <c r="F296" s="17">
        <f aca="true" t="shared" si="101" ref="F296:F297">F297</f>
        <v>60.7</v>
      </c>
    </row>
    <row r="297" spans="1:6" ht="31.5">
      <c r="A297" s="42" t="s">
        <v>52</v>
      </c>
      <c r="B297" s="42">
        <v>1320220080</v>
      </c>
      <c r="C297" s="43" t="s">
        <v>72</v>
      </c>
      <c r="D297" s="57" t="s">
        <v>95</v>
      </c>
      <c r="E297" s="17">
        <f>E298</f>
        <v>60.7</v>
      </c>
      <c r="F297" s="17">
        <f t="shared" si="101"/>
        <v>60.7</v>
      </c>
    </row>
    <row r="298" spans="1:6" ht="31.5">
      <c r="A298" s="42" t="s">
        <v>52</v>
      </c>
      <c r="B298" s="42">
        <v>1320220080</v>
      </c>
      <c r="C298" s="42">
        <v>240</v>
      </c>
      <c r="D298" s="57" t="s">
        <v>257</v>
      </c>
      <c r="E298" s="17">
        <f>'№ 6'!F248</f>
        <v>60.7</v>
      </c>
      <c r="F298" s="17">
        <f>'№ 6'!G248</f>
        <v>60.7</v>
      </c>
    </row>
    <row r="299" spans="1:6" ht="31.5">
      <c r="A299" s="244" t="s">
        <v>52</v>
      </c>
      <c r="B299" s="244">
        <v>1320220090</v>
      </c>
      <c r="C299" s="244"/>
      <c r="D299" s="256" t="s">
        <v>431</v>
      </c>
      <c r="E299" s="17">
        <f>E300</f>
        <v>41.9</v>
      </c>
      <c r="F299" s="17">
        <f aca="true" t="shared" si="102" ref="F299:F300">F300</f>
        <v>40.8</v>
      </c>
    </row>
    <row r="300" spans="1:6" ht="31.5">
      <c r="A300" s="244" t="s">
        <v>52</v>
      </c>
      <c r="B300" s="244">
        <v>1320220090</v>
      </c>
      <c r="C300" s="244" t="s">
        <v>72</v>
      </c>
      <c r="D300" s="243" t="s">
        <v>95</v>
      </c>
      <c r="E300" s="17">
        <f>E301</f>
        <v>41.9</v>
      </c>
      <c r="F300" s="17">
        <f t="shared" si="102"/>
        <v>40.8</v>
      </c>
    </row>
    <row r="301" spans="1:6" ht="31.5">
      <c r="A301" s="244" t="s">
        <v>52</v>
      </c>
      <c r="B301" s="244">
        <v>1320220090</v>
      </c>
      <c r="C301" s="244">
        <v>240</v>
      </c>
      <c r="D301" s="243" t="s">
        <v>257</v>
      </c>
      <c r="E301" s="17">
        <f>'№ 6'!F251</f>
        <v>41.9</v>
      </c>
      <c r="F301" s="17">
        <f>'№ 6'!G251</f>
        <v>40.8</v>
      </c>
    </row>
    <row r="302" spans="1:6" ht="23.45" customHeight="1">
      <c r="A302" s="42" t="s">
        <v>52</v>
      </c>
      <c r="B302" s="42" t="s">
        <v>138</v>
      </c>
      <c r="C302" s="42"/>
      <c r="D302" s="57" t="s">
        <v>137</v>
      </c>
      <c r="E302" s="17">
        <f>E303</f>
        <v>5.399999999999977</v>
      </c>
      <c r="F302" s="17">
        <f aca="true" t="shared" si="103" ref="F302:F303">F303</f>
        <v>5.4</v>
      </c>
    </row>
    <row r="303" spans="1:6" ht="31.5">
      <c r="A303" s="42" t="s">
        <v>52</v>
      </c>
      <c r="B303" s="42" t="s">
        <v>138</v>
      </c>
      <c r="C303" s="43" t="s">
        <v>72</v>
      </c>
      <c r="D303" s="57" t="s">
        <v>95</v>
      </c>
      <c r="E303" s="17">
        <f>E304</f>
        <v>5.399999999999977</v>
      </c>
      <c r="F303" s="17">
        <f t="shared" si="103"/>
        <v>5.4</v>
      </c>
    </row>
    <row r="304" spans="1:6" ht="31.5">
      <c r="A304" s="42" t="s">
        <v>52</v>
      </c>
      <c r="B304" s="42" t="s">
        <v>138</v>
      </c>
      <c r="C304" s="42">
        <v>240</v>
      </c>
      <c r="D304" s="57" t="s">
        <v>257</v>
      </c>
      <c r="E304" s="17">
        <f>'№ 6'!F254</f>
        <v>5.399999999999977</v>
      </c>
      <c r="F304" s="17">
        <f>'№ 6'!G254</f>
        <v>5.4</v>
      </c>
    </row>
    <row r="305" spans="1:6" ht="24" customHeight="1">
      <c r="A305" s="42" t="s">
        <v>52</v>
      </c>
      <c r="B305" s="43">
        <v>1330000000</v>
      </c>
      <c r="C305" s="42"/>
      <c r="D305" s="57" t="s">
        <v>127</v>
      </c>
      <c r="E305" s="17">
        <f>E306</f>
        <v>361.9</v>
      </c>
      <c r="F305" s="17">
        <f aca="true" t="shared" si="104" ref="F305:F308">F306</f>
        <v>361.9</v>
      </c>
    </row>
    <row r="306" spans="1:6" ht="47.45" customHeight="1">
      <c r="A306" s="42" t="s">
        <v>52</v>
      </c>
      <c r="B306" s="43">
        <v>1330200000</v>
      </c>
      <c r="C306" s="42"/>
      <c r="D306" s="57" t="s">
        <v>210</v>
      </c>
      <c r="E306" s="17">
        <f>E307+E310</f>
        <v>361.9</v>
      </c>
      <c r="F306" s="17">
        <f aca="true" t="shared" si="105" ref="F306">F307+F310</f>
        <v>361.9</v>
      </c>
    </row>
    <row r="307" spans="1:6" ht="12.75">
      <c r="A307" s="42" t="s">
        <v>52</v>
      </c>
      <c r="B307" s="43">
        <v>1330220090</v>
      </c>
      <c r="C307" s="42"/>
      <c r="D307" s="57" t="s">
        <v>139</v>
      </c>
      <c r="E307" s="17">
        <f>E308</f>
        <v>73.9</v>
      </c>
      <c r="F307" s="17">
        <f t="shared" si="104"/>
        <v>73.9</v>
      </c>
    </row>
    <row r="308" spans="1:6" ht="31.5">
      <c r="A308" s="42" t="s">
        <v>52</v>
      </c>
      <c r="B308" s="43">
        <v>1330220090</v>
      </c>
      <c r="C308" s="43" t="s">
        <v>72</v>
      </c>
      <c r="D308" s="57" t="s">
        <v>95</v>
      </c>
      <c r="E308" s="17">
        <f>E309</f>
        <v>73.9</v>
      </c>
      <c r="F308" s="17">
        <f t="shared" si="104"/>
        <v>73.9</v>
      </c>
    </row>
    <row r="309" spans="1:6" ht="31.5">
      <c r="A309" s="42" t="s">
        <v>52</v>
      </c>
      <c r="B309" s="43">
        <v>1330220090</v>
      </c>
      <c r="C309" s="193">
        <v>240</v>
      </c>
      <c r="D309" s="191" t="s">
        <v>257</v>
      </c>
      <c r="E309" s="17">
        <f>'№ 6'!F259</f>
        <v>73.9</v>
      </c>
      <c r="F309" s="17">
        <f>'№ 6'!G259</f>
        <v>73.9</v>
      </c>
    </row>
    <row r="310" spans="1:6" ht="12.75">
      <c r="A310" s="190" t="s">
        <v>52</v>
      </c>
      <c r="B310" s="192">
        <v>1330220100</v>
      </c>
      <c r="C310" s="193"/>
      <c r="D310" s="50" t="s">
        <v>380</v>
      </c>
      <c r="E310" s="17">
        <f>E311</f>
        <v>288</v>
      </c>
      <c r="F310" s="17">
        <f aca="true" t="shared" si="106" ref="F310:F311">F311</f>
        <v>288</v>
      </c>
    </row>
    <row r="311" spans="1:6" ht="31.5">
      <c r="A311" s="190" t="s">
        <v>52</v>
      </c>
      <c r="B311" s="192">
        <v>1330220100</v>
      </c>
      <c r="C311" s="142" t="s">
        <v>72</v>
      </c>
      <c r="D311" s="191" t="s">
        <v>95</v>
      </c>
      <c r="E311" s="17">
        <f>E312</f>
        <v>288</v>
      </c>
      <c r="F311" s="17">
        <f t="shared" si="106"/>
        <v>288</v>
      </c>
    </row>
    <row r="312" spans="1:6" ht="31.5">
      <c r="A312" s="190" t="s">
        <v>52</v>
      </c>
      <c r="B312" s="192">
        <v>1330220100</v>
      </c>
      <c r="C312" s="193">
        <v>240</v>
      </c>
      <c r="D312" s="191" t="s">
        <v>257</v>
      </c>
      <c r="E312" s="17">
        <f>'№ 6'!F262</f>
        <v>288</v>
      </c>
      <c r="F312" s="17">
        <f>'№ 6'!G262</f>
        <v>288</v>
      </c>
    </row>
    <row r="313" spans="1:6" ht="12.75">
      <c r="A313" s="232" t="s">
        <v>52</v>
      </c>
      <c r="B313" s="234" t="s">
        <v>112</v>
      </c>
      <c r="C313" s="234" t="s">
        <v>69</v>
      </c>
      <c r="D313" s="233" t="s">
        <v>107</v>
      </c>
      <c r="E313" s="17">
        <f>E318+E314</f>
        <v>292.4</v>
      </c>
      <c r="F313" s="17">
        <f aca="true" t="shared" si="107" ref="F313">F318+F314</f>
        <v>292.4</v>
      </c>
    </row>
    <row r="314" spans="1:6" ht="47.25">
      <c r="A314" s="255" t="s">
        <v>52</v>
      </c>
      <c r="B314" s="255">
        <v>9920000000</v>
      </c>
      <c r="C314" s="255"/>
      <c r="D314" s="73" t="s">
        <v>381</v>
      </c>
      <c r="E314" s="17">
        <f>E315</f>
        <v>10.9</v>
      </c>
      <c r="F314" s="17">
        <f aca="true" t="shared" si="108" ref="F314:F316">F315</f>
        <v>10.9</v>
      </c>
    </row>
    <row r="315" spans="1:6" ht="34.9" customHeight="1">
      <c r="A315" s="255" t="s">
        <v>52</v>
      </c>
      <c r="B315" s="255">
        <v>9920010920</v>
      </c>
      <c r="C315" s="255"/>
      <c r="D315" s="73" t="s">
        <v>382</v>
      </c>
      <c r="E315" s="17">
        <f>E316</f>
        <v>10.9</v>
      </c>
      <c r="F315" s="17">
        <f t="shared" si="108"/>
        <v>10.9</v>
      </c>
    </row>
    <row r="316" spans="1:6" ht="31.5">
      <c r="A316" s="255" t="s">
        <v>52</v>
      </c>
      <c r="B316" s="255">
        <v>9920010920</v>
      </c>
      <c r="C316" s="257" t="s">
        <v>72</v>
      </c>
      <c r="D316" s="256" t="s">
        <v>95</v>
      </c>
      <c r="E316" s="17">
        <f>E317</f>
        <v>10.9</v>
      </c>
      <c r="F316" s="17">
        <f t="shared" si="108"/>
        <v>10.9</v>
      </c>
    </row>
    <row r="317" spans="1:6" ht="31.5">
      <c r="A317" s="255" t="s">
        <v>52</v>
      </c>
      <c r="B317" s="255">
        <v>9920010920</v>
      </c>
      <c r="C317" s="255">
        <v>240</v>
      </c>
      <c r="D317" s="256" t="s">
        <v>257</v>
      </c>
      <c r="E317" s="17">
        <f>'№ 6'!F267</f>
        <v>10.9</v>
      </c>
      <c r="F317" s="17">
        <f>'№ 6'!G267</f>
        <v>10.9</v>
      </c>
    </row>
    <row r="318" spans="1:6" ht="31.5">
      <c r="A318" s="232" t="s">
        <v>52</v>
      </c>
      <c r="B318" s="232">
        <v>9930000000</v>
      </c>
      <c r="C318" s="232"/>
      <c r="D318" s="73" t="s">
        <v>173</v>
      </c>
      <c r="E318" s="17">
        <f>E319</f>
        <v>281.5</v>
      </c>
      <c r="F318" s="17">
        <f aca="true" t="shared" si="109" ref="F318:F320">F319</f>
        <v>281.5</v>
      </c>
    </row>
    <row r="319" spans="1:6" ht="31.5">
      <c r="A319" s="232" t="s">
        <v>52</v>
      </c>
      <c r="B319" s="232">
        <v>9930020490</v>
      </c>
      <c r="C319" s="232"/>
      <c r="D319" s="73" t="s">
        <v>334</v>
      </c>
      <c r="E319" s="17">
        <f>E320</f>
        <v>281.5</v>
      </c>
      <c r="F319" s="17">
        <f t="shared" si="109"/>
        <v>281.5</v>
      </c>
    </row>
    <row r="320" spans="1:6" ht="12.75">
      <c r="A320" s="232" t="s">
        <v>52</v>
      </c>
      <c r="B320" s="232">
        <v>9930020490</v>
      </c>
      <c r="C320" s="11" t="s">
        <v>73</v>
      </c>
      <c r="D320" s="50" t="s">
        <v>74</v>
      </c>
      <c r="E320" s="17">
        <f>E321</f>
        <v>281.5</v>
      </c>
      <c r="F320" s="17">
        <f t="shared" si="109"/>
        <v>281.5</v>
      </c>
    </row>
    <row r="321" spans="1:6" ht="12.75">
      <c r="A321" s="232" t="s">
        <v>52</v>
      </c>
      <c r="B321" s="232">
        <v>9930020490</v>
      </c>
      <c r="C321" s="1" t="s">
        <v>335</v>
      </c>
      <c r="D321" s="81" t="s">
        <v>336</v>
      </c>
      <c r="E321" s="17">
        <f>'№ 6'!F271</f>
        <v>281.5</v>
      </c>
      <c r="F321" s="17">
        <f>'№ 6'!G271</f>
        <v>281.5</v>
      </c>
    </row>
    <row r="322" spans="1:6" ht="12.75">
      <c r="A322" s="4" t="s">
        <v>39</v>
      </c>
      <c r="B322" s="4" t="s">
        <v>69</v>
      </c>
      <c r="C322" s="194" t="s">
        <v>69</v>
      </c>
      <c r="D322" s="66" t="s">
        <v>31</v>
      </c>
      <c r="E322" s="82">
        <f>E323+E364+E457+E482+E422+E450</f>
        <v>633762.3000000002</v>
      </c>
      <c r="F322" s="82">
        <f>F323+F364+F457+F482+F422+F450</f>
        <v>620534.8000000002</v>
      </c>
    </row>
    <row r="323" spans="1:6" ht="12.75">
      <c r="A323" s="44" t="s">
        <v>53</v>
      </c>
      <c r="B323" s="44" t="s">
        <v>69</v>
      </c>
      <c r="C323" s="189" t="s">
        <v>69</v>
      </c>
      <c r="D323" s="63" t="s">
        <v>11</v>
      </c>
      <c r="E323" s="17">
        <f>E324+E341+E359</f>
        <v>321778.69999999995</v>
      </c>
      <c r="F323" s="17">
        <f>F324+F341+F359</f>
        <v>311110.6</v>
      </c>
    </row>
    <row r="324" spans="1:6" ht="39" customHeight="1">
      <c r="A324" s="42" t="s">
        <v>53</v>
      </c>
      <c r="B324" s="43">
        <v>1100000000</v>
      </c>
      <c r="C324" s="42"/>
      <c r="D324" s="57" t="s">
        <v>202</v>
      </c>
      <c r="E324" s="17">
        <f>E325</f>
        <v>200611.99999999997</v>
      </c>
      <c r="F324" s="17">
        <f aca="true" t="shared" si="110" ref="F324">F325</f>
        <v>200611.99999999997</v>
      </c>
    </row>
    <row r="325" spans="1:6" ht="12.75">
      <c r="A325" s="42" t="s">
        <v>53</v>
      </c>
      <c r="B325" s="42">
        <v>1110000000</v>
      </c>
      <c r="C325" s="42"/>
      <c r="D325" s="63" t="s">
        <v>183</v>
      </c>
      <c r="E325" s="17">
        <f>E326+E337+E333</f>
        <v>200611.99999999997</v>
      </c>
      <c r="F325" s="17">
        <f aca="true" t="shared" si="111" ref="F325">F326+F337+F333</f>
        <v>200611.99999999997</v>
      </c>
    </row>
    <row r="326" spans="1:6" ht="47.25">
      <c r="A326" s="42" t="s">
        <v>53</v>
      </c>
      <c r="B326" s="42">
        <v>1110100000</v>
      </c>
      <c r="C326" s="25"/>
      <c r="D326" s="63" t="s">
        <v>184</v>
      </c>
      <c r="E326" s="17">
        <f>E330+E327</f>
        <v>196509.8</v>
      </c>
      <c r="F326" s="17">
        <f aca="true" t="shared" si="112" ref="F326">F330+F327</f>
        <v>196509.8</v>
      </c>
    </row>
    <row r="327" spans="1:6" ht="57.6" customHeight="1">
      <c r="A327" s="2" t="s">
        <v>53</v>
      </c>
      <c r="B327" s="10" t="s">
        <v>186</v>
      </c>
      <c r="C327" s="11"/>
      <c r="D327" s="50" t="s">
        <v>105</v>
      </c>
      <c r="E327" s="17">
        <f>E328</f>
        <v>108564.59999999999</v>
      </c>
      <c r="F327" s="17">
        <f aca="true" t="shared" si="113" ref="F327:F328">F328</f>
        <v>108564.6</v>
      </c>
    </row>
    <row r="328" spans="1:6" ht="31.5">
      <c r="A328" s="2" t="s">
        <v>53</v>
      </c>
      <c r="B328" s="10" t="s">
        <v>186</v>
      </c>
      <c r="C328" s="43" t="s">
        <v>97</v>
      </c>
      <c r="D328" s="57" t="s">
        <v>98</v>
      </c>
      <c r="E328" s="17">
        <f>E329</f>
        <v>108564.59999999999</v>
      </c>
      <c r="F328" s="17">
        <f t="shared" si="113"/>
        <v>108564.6</v>
      </c>
    </row>
    <row r="329" spans="1:6" ht="12.75">
      <c r="A329" s="2" t="s">
        <v>53</v>
      </c>
      <c r="B329" s="10" t="s">
        <v>186</v>
      </c>
      <c r="C329" s="42">
        <v>610</v>
      </c>
      <c r="D329" s="57" t="s">
        <v>106</v>
      </c>
      <c r="E329" s="17">
        <f>'№ 6'!F587</f>
        <v>108564.59999999999</v>
      </c>
      <c r="F329" s="17">
        <f>'№ 6'!G587</f>
        <v>108564.6</v>
      </c>
    </row>
    <row r="330" spans="1:6" ht="31.5">
      <c r="A330" s="2" t="s">
        <v>53</v>
      </c>
      <c r="B330" s="10" t="s">
        <v>185</v>
      </c>
      <c r="C330" s="10"/>
      <c r="D330" s="50" t="s">
        <v>126</v>
      </c>
      <c r="E330" s="17">
        <f>E331</f>
        <v>87945.2</v>
      </c>
      <c r="F330" s="17">
        <f aca="true" t="shared" si="114" ref="F330:F331">F331</f>
        <v>87945.2</v>
      </c>
    </row>
    <row r="331" spans="1:6" ht="31.5">
      <c r="A331" s="2" t="s">
        <v>53</v>
      </c>
      <c r="B331" s="10" t="s">
        <v>185</v>
      </c>
      <c r="C331" s="43" t="s">
        <v>97</v>
      </c>
      <c r="D331" s="57" t="s">
        <v>98</v>
      </c>
      <c r="E331" s="17">
        <f>E332</f>
        <v>87945.2</v>
      </c>
      <c r="F331" s="17">
        <f t="shared" si="114"/>
        <v>87945.2</v>
      </c>
    </row>
    <row r="332" spans="1:6" ht="12.75">
      <c r="A332" s="2" t="s">
        <v>53</v>
      </c>
      <c r="B332" s="10" t="s">
        <v>185</v>
      </c>
      <c r="C332" s="42">
        <v>610</v>
      </c>
      <c r="D332" s="57" t="s">
        <v>106</v>
      </c>
      <c r="E332" s="17">
        <f>'№ 6'!F590</f>
        <v>87945.2</v>
      </c>
      <c r="F332" s="17">
        <f>'№ 6'!G590</f>
        <v>87945.2</v>
      </c>
    </row>
    <row r="333" spans="1:6" ht="63">
      <c r="A333" s="2" t="s">
        <v>53</v>
      </c>
      <c r="B333" s="132">
        <v>1110600000</v>
      </c>
      <c r="C333" s="132"/>
      <c r="D333" s="73" t="s">
        <v>325</v>
      </c>
      <c r="E333" s="17">
        <f>E334</f>
        <v>867.8000000000001</v>
      </c>
      <c r="F333" s="17">
        <f aca="true" t="shared" si="115" ref="F333:F335">F334</f>
        <v>867.8</v>
      </c>
    </row>
    <row r="334" spans="1:6" ht="31.5">
      <c r="A334" s="2" t="s">
        <v>53</v>
      </c>
      <c r="B334" s="132">
        <v>1110620030</v>
      </c>
      <c r="C334" s="132"/>
      <c r="D334" s="73" t="s">
        <v>326</v>
      </c>
      <c r="E334" s="17">
        <f>E335</f>
        <v>867.8000000000001</v>
      </c>
      <c r="F334" s="17">
        <f t="shared" si="115"/>
        <v>867.8</v>
      </c>
    </row>
    <row r="335" spans="1:6" ht="31.5">
      <c r="A335" s="2" t="s">
        <v>53</v>
      </c>
      <c r="B335" s="132">
        <v>1110620030</v>
      </c>
      <c r="C335" s="134" t="s">
        <v>97</v>
      </c>
      <c r="D335" s="133" t="s">
        <v>98</v>
      </c>
      <c r="E335" s="17">
        <f>E336</f>
        <v>867.8000000000001</v>
      </c>
      <c r="F335" s="17">
        <f t="shared" si="115"/>
        <v>867.8</v>
      </c>
    </row>
    <row r="336" spans="1:6" ht="12.75">
      <c r="A336" s="2" t="s">
        <v>53</v>
      </c>
      <c r="B336" s="132">
        <v>1110620030</v>
      </c>
      <c r="C336" s="132">
        <v>610</v>
      </c>
      <c r="D336" s="133" t="s">
        <v>106</v>
      </c>
      <c r="E336" s="17">
        <f>'№ 6'!F594</f>
        <v>867.8000000000001</v>
      </c>
      <c r="F336" s="17">
        <f>'№ 6'!G594</f>
        <v>867.8</v>
      </c>
    </row>
    <row r="337" spans="1:6" ht="64.9" customHeight="1">
      <c r="A337" s="2" t="s">
        <v>53</v>
      </c>
      <c r="B337" s="126">
        <v>1110700000</v>
      </c>
      <c r="C337" s="126"/>
      <c r="D337" s="73" t="s">
        <v>318</v>
      </c>
      <c r="E337" s="17">
        <f>E338</f>
        <v>3234.4</v>
      </c>
      <c r="F337" s="17">
        <f>F338</f>
        <v>3234.4</v>
      </c>
    </row>
    <row r="338" spans="1:6" ht="31.5">
      <c r="A338" s="2" t="s">
        <v>53</v>
      </c>
      <c r="B338" s="10" t="s">
        <v>320</v>
      </c>
      <c r="C338" s="126"/>
      <c r="D338" s="73" t="s">
        <v>321</v>
      </c>
      <c r="E338" s="17">
        <f>E339</f>
        <v>3234.4</v>
      </c>
      <c r="F338" s="17">
        <f aca="true" t="shared" si="116" ref="F338:F339">F339</f>
        <v>3234.4</v>
      </c>
    </row>
    <row r="339" spans="1:6" ht="31.5">
      <c r="A339" s="2" t="s">
        <v>53</v>
      </c>
      <c r="B339" s="10" t="s">
        <v>320</v>
      </c>
      <c r="C339" s="128" t="s">
        <v>97</v>
      </c>
      <c r="D339" s="127" t="s">
        <v>98</v>
      </c>
      <c r="E339" s="17">
        <f>E340</f>
        <v>3234.4</v>
      </c>
      <c r="F339" s="17">
        <f t="shared" si="116"/>
        <v>3234.4</v>
      </c>
    </row>
    <row r="340" spans="1:6" ht="12.75">
      <c r="A340" s="2" t="s">
        <v>53</v>
      </c>
      <c r="B340" s="10" t="s">
        <v>320</v>
      </c>
      <c r="C340" s="126">
        <v>610</v>
      </c>
      <c r="D340" s="127" t="s">
        <v>106</v>
      </c>
      <c r="E340" s="17">
        <f>'№ 6'!F598</f>
        <v>3234.4</v>
      </c>
      <c r="F340" s="17">
        <f>'№ 6'!G598</f>
        <v>3234.4</v>
      </c>
    </row>
    <row r="341" spans="1:6" ht="47.25">
      <c r="A341" s="68" t="s">
        <v>53</v>
      </c>
      <c r="B341" s="70">
        <v>1200000000</v>
      </c>
      <c r="C341" s="68"/>
      <c r="D341" s="69" t="s">
        <v>197</v>
      </c>
      <c r="E341" s="17">
        <f>E342</f>
        <v>121066.70000000001</v>
      </c>
      <c r="F341" s="17">
        <f aca="true" t="shared" si="117" ref="F341:F357">F342</f>
        <v>110398.6</v>
      </c>
    </row>
    <row r="342" spans="1:6" ht="31.5">
      <c r="A342" s="68" t="s">
        <v>53</v>
      </c>
      <c r="B342" s="70">
        <v>1250000000</v>
      </c>
      <c r="C342" s="68"/>
      <c r="D342" s="69" t="s">
        <v>262</v>
      </c>
      <c r="E342" s="17">
        <f>E343</f>
        <v>121066.70000000001</v>
      </c>
      <c r="F342" s="17">
        <f t="shared" si="117"/>
        <v>110398.6</v>
      </c>
    </row>
    <row r="343" spans="1:6" ht="49.15" customHeight="1">
      <c r="A343" s="68" t="s">
        <v>53</v>
      </c>
      <c r="B343" s="85" t="s">
        <v>274</v>
      </c>
      <c r="C343" s="83"/>
      <c r="D343" s="84" t="s">
        <v>271</v>
      </c>
      <c r="E343" s="17">
        <f>E356+E353+E344+E347+E350</f>
        <v>121066.70000000001</v>
      </c>
      <c r="F343" s="17">
        <f aca="true" t="shared" si="118" ref="F343">F356+F353+F344+F347+F350</f>
        <v>110398.6</v>
      </c>
    </row>
    <row r="344" spans="1:6" ht="47.25">
      <c r="A344" s="129" t="s">
        <v>53</v>
      </c>
      <c r="B344" s="131" t="s">
        <v>322</v>
      </c>
      <c r="C344" s="129"/>
      <c r="D344" s="130" t="s">
        <v>323</v>
      </c>
      <c r="E344" s="17">
        <f>E345</f>
        <v>28180.5</v>
      </c>
      <c r="F344" s="17">
        <f aca="true" t="shared" si="119" ref="F344:F345">F345</f>
        <v>28180.5</v>
      </c>
    </row>
    <row r="345" spans="1:6" ht="31.5">
      <c r="A345" s="129" t="s">
        <v>53</v>
      </c>
      <c r="B345" s="131" t="s">
        <v>322</v>
      </c>
      <c r="C345" s="131" t="s">
        <v>75</v>
      </c>
      <c r="D345" s="73" t="s">
        <v>96</v>
      </c>
      <c r="E345" s="17">
        <f>E346</f>
        <v>28180.5</v>
      </c>
      <c r="F345" s="17">
        <f t="shared" si="119"/>
        <v>28180.5</v>
      </c>
    </row>
    <row r="346" spans="1:6" ht="12.75">
      <c r="A346" s="129" t="s">
        <v>53</v>
      </c>
      <c r="B346" s="131" t="s">
        <v>322</v>
      </c>
      <c r="C346" s="131" t="s">
        <v>122</v>
      </c>
      <c r="D346" s="73" t="s">
        <v>123</v>
      </c>
      <c r="E346" s="17">
        <f>'№ 6'!F279</f>
        <v>28180.5</v>
      </c>
      <c r="F346" s="17">
        <f>'№ 6'!G279</f>
        <v>28180.5</v>
      </c>
    </row>
    <row r="347" spans="1:6" ht="23.45" customHeight="1">
      <c r="A347" s="132" t="s">
        <v>53</v>
      </c>
      <c r="B347" s="134" t="s">
        <v>327</v>
      </c>
      <c r="C347" s="132"/>
      <c r="D347" s="133" t="s">
        <v>328</v>
      </c>
      <c r="E347" s="17">
        <f>E348</f>
        <v>384.3000000000002</v>
      </c>
      <c r="F347" s="17">
        <f aca="true" t="shared" si="120" ref="F347:F348">F348</f>
        <v>384.3</v>
      </c>
    </row>
    <row r="348" spans="1:6" ht="31.5">
      <c r="A348" s="132" t="s">
        <v>53</v>
      </c>
      <c r="B348" s="134" t="s">
        <v>327</v>
      </c>
      <c r="C348" s="134" t="s">
        <v>75</v>
      </c>
      <c r="D348" s="73" t="s">
        <v>96</v>
      </c>
      <c r="E348" s="17">
        <f>E349</f>
        <v>384.3000000000002</v>
      </c>
      <c r="F348" s="17">
        <f t="shared" si="120"/>
        <v>384.3</v>
      </c>
    </row>
    <row r="349" spans="1:6" ht="12.75">
      <c r="A349" s="132" t="s">
        <v>53</v>
      </c>
      <c r="B349" s="134" t="s">
        <v>327</v>
      </c>
      <c r="C349" s="134" t="s">
        <v>122</v>
      </c>
      <c r="D349" s="73" t="s">
        <v>123</v>
      </c>
      <c r="E349" s="17">
        <f>'№ 6'!F282</f>
        <v>384.3000000000002</v>
      </c>
      <c r="F349" s="17">
        <f>'№ 6'!G282</f>
        <v>384.3</v>
      </c>
    </row>
    <row r="350" spans="1:6" ht="31.5">
      <c r="A350" s="242" t="s">
        <v>53</v>
      </c>
      <c r="B350" s="244" t="s">
        <v>429</v>
      </c>
      <c r="C350" s="244"/>
      <c r="D350" s="73" t="s">
        <v>430</v>
      </c>
      <c r="E350" s="17">
        <f>E351</f>
        <v>17230.1</v>
      </c>
      <c r="F350" s="17">
        <f aca="true" t="shared" si="121" ref="F350:F351">F351</f>
        <v>6562</v>
      </c>
    </row>
    <row r="351" spans="1:6" ht="31.5">
      <c r="A351" s="242" t="s">
        <v>53</v>
      </c>
      <c r="B351" s="244" t="s">
        <v>429</v>
      </c>
      <c r="C351" s="244" t="s">
        <v>75</v>
      </c>
      <c r="D351" s="73" t="s">
        <v>96</v>
      </c>
      <c r="E351" s="17">
        <f>E352</f>
        <v>17230.1</v>
      </c>
      <c r="F351" s="17">
        <f t="shared" si="121"/>
        <v>6562</v>
      </c>
    </row>
    <row r="352" spans="1:6" ht="12.75">
      <c r="A352" s="242" t="s">
        <v>53</v>
      </c>
      <c r="B352" s="244" t="s">
        <v>429</v>
      </c>
      <c r="C352" s="244" t="s">
        <v>122</v>
      </c>
      <c r="D352" s="73" t="s">
        <v>123</v>
      </c>
      <c r="E352" s="17">
        <f>'№ 6'!F285</f>
        <v>17230.1</v>
      </c>
      <c r="F352" s="17">
        <f>'№ 6'!G285</f>
        <v>6562</v>
      </c>
    </row>
    <row r="353" spans="1:6" ht="63">
      <c r="A353" s="87" t="s">
        <v>53</v>
      </c>
      <c r="B353" s="88" t="s">
        <v>280</v>
      </c>
      <c r="C353" s="88"/>
      <c r="D353" s="73" t="s">
        <v>281</v>
      </c>
      <c r="E353" s="17">
        <f>E354</f>
        <v>68226.7</v>
      </c>
      <c r="F353" s="17">
        <f aca="true" t="shared" si="122" ref="F353:F354">F354</f>
        <v>68226.7</v>
      </c>
    </row>
    <row r="354" spans="1:6" ht="31.5">
      <c r="A354" s="87" t="s">
        <v>53</v>
      </c>
      <c r="B354" s="88" t="s">
        <v>280</v>
      </c>
      <c r="C354" s="88" t="s">
        <v>75</v>
      </c>
      <c r="D354" s="73" t="s">
        <v>96</v>
      </c>
      <c r="E354" s="17">
        <f>E355</f>
        <v>68226.7</v>
      </c>
      <c r="F354" s="17">
        <f t="shared" si="122"/>
        <v>68226.7</v>
      </c>
    </row>
    <row r="355" spans="1:6" ht="12.75">
      <c r="A355" s="87" t="s">
        <v>53</v>
      </c>
      <c r="B355" s="88" t="s">
        <v>280</v>
      </c>
      <c r="C355" s="88" t="s">
        <v>122</v>
      </c>
      <c r="D355" s="73" t="s">
        <v>123</v>
      </c>
      <c r="E355" s="17">
        <f>'№ 6'!F288</f>
        <v>68226.7</v>
      </c>
      <c r="F355" s="17">
        <f>'№ 6'!G288</f>
        <v>68226.7</v>
      </c>
    </row>
    <row r="356" spans="1:6" ht="31.5">
      <c r="A356" s="68" t="s">
        <v>53</v>
      </c>
      <c r="B356" s="85" t="s">
        <v>275</v>
      </c>
      <c r="C356" s="83"/>
      <c r="D356" s="84" t="s">
        <v>273</v>
      </c>
      <c r="E356" s="17">
        <f>E357</f>
        <v>7045.1</v>
      </c>
      <c r="F356" s="17">
        <f t="shared" si="117"/>
        <v>7045.1</v>
      </c>
    </row>
    <row r="357" spans="1:6" ht="31.5">
      <c r="A357" s="68" t="s">
        <v>53</v>
      </c>
      <c r="B357" s="85" t="s">
        <v>275</v>
      </c>
      <c r="C357" s="85" t="s">
        <v>75</v>
      </c>
      <c r="D357" s="73" t="s">
        <v>96</v>
      </c>
      <c r="E357" s="17">
        <f>E358</f>
        <v>7045.1</v>
      </c>
      <c r="F357" s="17">
        <f t="shared" si="117"/>
        <v>7045.1</v>
      </c>
    </row>
    <row r="358" spans="1:6" ht="12.75">
      <c r="A358" s="68" t="s">
        <v>53</v>
      </c>
      <c r="B358" s="85" t="s">
        <v>275</v>
      </c>
      <c r="C358" s="85" t="s">
        <v>122</v>
      </c>
      <c r="D358" s="73" t="s">
        <v>123</v>
      </c>
      <c r="E358" s="17">
        <f>'№ 6'!F291</f>
        <v>7045.1</v>
      </c>
      <c r="F358" s="17">
        <f>'№ 6'!G291</f>
        <v>7045.1</v>
      </c>
    </row>
    <row r="359" spans="1:6" ht="12.75">
      <c r="A359" s="2" t="s">
        <v>53</v>
      </c>
      <c r="B359" s="198">
        <v>9900000000</v>
      </c>
      <c r="C359" s="198"/>
      <c r="D359" s="73" t="s">
        <v>107</v>
      </c>
      <c r="E359" s="17">
        <f>E360</f>
        <v>100</v>
      </c>
      <c r="F359" s="17">
        <f aca="true" t="shared" si="123" ref="F359:F362">F360</f>
        <v>100</v>
      </c>
    </row>
    <row r="360" spans="1:6" ht="47.25">
      <c r="A360" s="2" t="s">
        <v>53</v>
      </c>
      <c r="B360" s="198">
        <v>9920000000</v>
      </c>
      <c r="C360" s="198"/>
      <c r="D360" s="73" t="s">
        <v>381</v>
      </c>
      <c r="E360" s="17">
        <f>E361</f>
        <v>100</v>
      </c>
      <c r="F360" s="17">
        <f t="shared" si="123"/>
        <v>100</v>
      </c>
    </row>
    <row r="361" spans="1:6" ht="39.6" customHeight="1">
      <c r="A361" s="2" t="s">
        <v>53</v>
      </c>
      <c r="B361" s="198">
        <v>9920010920</v>
      </c>
      <c r="C361" s="198"/>
      <c r="D361" s="73" t="s">
        <v>382</v>
      </c>
      <c r="E361" s="17">
        <f>E362</f>
        <v>100</v>
      </c>
      <c r="F361" s="17">
        <f t="shared" si="123"/>
        <v>100</v>
      </c>
    </row>
    <row r="362" spans="1:6" ht="31.5">
      <c r="A362" s="2" t="s">
        <v>53</v>
      </c>
      <c r="B362" s="198">
        <v>9920010920</v>
      </c>
      <c r="C362" s="198" t="s">
        <v>97</v>
      </c>
      <c r="D362" s="73" t="s">
        <v>98</v>
      </c>
      <c r="E362" s="17">
        <f>E363</f>
        <v>100</v>
      </c>
      <c r="F362" s="17">
        <f t="shared" si="123"/>
        <v>100</v>
      </c>
    </row>
    <row r="363" spans="1:6" ht="12.75">
      <c r="A363" s="2" t="s">
        <v>53</v>
      </c>
      <c r="B363" s="198">
        <v>9920010920</v>
      </c>
      <c r="C363" s="198">
        <v>610</v>
      </c>
      <c r="D363" s="73" t="s">
        <v>106</v>
      </c>
      <c r="E363" s="17">
        <f>'№ 6'!F603</f>
        <v>100</v>
      </c>
      <c r="F363" s="17">
        <f>'№ 6'!G603</f>
        <v>100</v>
      </c>
    </row>
    <row r="364" spans="1:6" ht="12.75">
      <c r="A364" s="42" t="s">
        <v>54</v>
      </c>
      <c r="B364" s="42" t="s">
        <v>69</v>
      </c>
      <c r="C364" s="42" t="s">
        <v>69</v>
      </c>
      <c r="D364" s="63" t="s">
        <v>12</v>
      </c>
      <c r="E364" s="17">
        <f>E365+E408+E417</f>
        <v>271114.60000000003</v>
      </c>
      <c r="F364" s="17">
        <f>F365+F408+F417</f>
        <v>268610.70000000007</v>
      </c>
    </row>
    <row r="365" spans="1:6" ht="39.6" customHeight="1">
      <c r="A365" s="42" t="s">
        <v>54</v>
      </c>
      <c r="B365" s="43">
        <v>1100000000</v>
      </c>
      <c r="C365" s="42"/>
      <c r="D365" s="57" t="s">
        <v>202</v>
      </c>
      <c r="E365" s="17">
        <f>E366+E398+E403</f>
        <v>270747.2</v>
      </c>
      <c r="F365" s="17">
        <f>F366+F398+F403</f>
        <v>268243.30000000005</v>
      </c>
    </row>
    <row r="366" spans="1:6" ht="12.75">
      <c r="A366" s="42" t="s">
        <v>54</v>
      </c>
      <c r="B366" s="42">
        <v>1110000000</v>
      </c>
      <c r="C366" s="42"/>
      <c r="D366" s="63" t="s">
        <v>183</v>
      </c>
      <c r="E366" s="17">
        <f>E367+E374+E384+E394</f>
        <v>266230.9</v>
      </c>
      <c r="F366" s="17">
        <f aca="true" t="shared" si="124" ref="F366">F367+F374+F384+F394</f>
        <v>263848.30000000005</v>
      </c>
    </row>
    <row r="367" spans="1:6" ht="47.25">
      <c r="A367" s="42" t="s">
        <v>54</v>
      </c>
      <c r="B367" s="42">
        <v>1110100000</v>
      </c>
      <c r="C367" s="25"/>
      <c r="D367" s="63" t="s">
        <v>184</v>
      </c>
      <c r="E367" s="17">
        <f>E371+E368</f>
        <v>240366.4</v>
      </c>
      <c r="F367" s="17">
        <f aca="true" t="shared" si="125" ref="F367">F371+F368</f>
        <v>240366.40000000002</v>
      </c>
    </row>
    <row r="368" spans="1:6" ht="94.5">
      <c r="A368" s="42" t="s">
        <v>54</v>
      </c>
      <c r="B368" s="42">
        <v>1110110750</v>
      </c>
      <c r="C368" s="42"/>
      <c r="D368" s="63" t="s">
        <v>187</v>
      </c>
      <c r="E368" s="17">
        <f>E369</f>
        <v>200357.1</v>
      </c>
      <c r="F368" s="17">
        <f aca="true" t="shared" si="126" ref="F368:F369">F369</f>
        <v>200357.1</v>
      </c>
    </row>
    <row r="369" spans="1:6" ht="31.5">
      <c r="A369" s="42" t="s">
        <v>54</v>
      </c>
      <c r="B369" s="42">
        <v>1110110750</v>
      </c>
      <c r="C369" s="43" t="s">
        <v>97</v>
      </c>
      <c r="D369" s="57" t="s">
        <v>98</v>
      </c>
      <c r="E369" s="17">
        <f>E370</f>
        <v>200357.1</v>
      </c>
      <c r="F369" s="17">
        <f t="shared" si="126"/>
        <v>200357.1</v>
      </c>
    </row>
    <row r="370" spans="1:6" ht="12.75">
      <c r="A370" s="42" t="s">
        <v>54</v>
      </c>
      <c r="B370" s="42">
        <v>1110110750</v>
      </c>
      <c r="C370" s="42">
        <v>610</v>
      </c>
      <c r="D370" s="57" t="s">
        <v>106</v>
      </c>
      <c r="E370" s="17">
        <f>'№ 6'!F610</f>
        <v>200357.1</v>
      </c>
      <c r="F370" s="17">
        <f>'№ 6'!G610</f>
        <v>200357.1</v>
      </c>
    </row>
    <row r="371" spans="1:6" ht="31.5">
      <c r="A371" s="42" t="s">
        <v>54</v>
      </c>
      <c r="B371" s="10" t="s">
        <v>185</v>
      </c>
      <c r="C371" s="10"/>
      <c r="D371" s="50" t="s">
        <v>126</v>
      </c>
      <c r="E371" s="17">
        <f>E372</f>
        <v>40009.299999999996</v>
      </c>
      <c r="F371" s="17">
        <f aca="true" t="shared" si="127" ref="F371:F372">F372</f>
        <v>40009.3</v>
      </c>
    </row>
    <row r="372" spans="1:6" ht="31.5">
      <c r="A372" s="42" t="s">
        <v>54</v>
      </c>
      <c r="B372" s="10" t="s">
        <v>185</v>
      </c>
      <c r="C372" s="43" t="s">
        <v>97</v>
      </c>
      <c r="D372" s="57" t="s">
        <v>98</v>
      </c>
      <c r="E372" s="17">
        <f>E373</f>
        <v>40009.299999999996</v>
      </c>
      <c r="F372" s="17">
        <f t="shared" si="127"/>
        <v>40009.3</v>
      </c>
    </row>
    <row r="373" spans="1:6" ht="12.75">
      <c r="A373" s="42" t="s">
        <v>54</v>
      </c>
      <c r="B373" s="10" t="s">
        <v>185</v>
      </c>
      <c r="C373" s="42">
        <v>610</v>
      </c>
      <c r="D373" s="57" t="s">
        <v>106</v>
      </c>
      <c r="E373" s="17">
        <f>'№ 6'!F613</f>
        <v>40009.299999999996</v>
      </c>
      <c r="F373" s="17">
        <f>'№ 6'!G613</f>
        <v>40009.3</v>
      </c>
    </row>
    <row r="374" spans="1:6" ht="31.5">
      <c r="A374" s="42" t="s">
        <v>54</v>
      </c>
      <c r="B374" s="42">
        <v>1110300000</v>
      </c>
      <c r="C374" s="42"/>
      <c r="D374" s="63" t="s">
        <v>188</v>
      </c>
      <c r="E374" s="17">
        <f>E378+E375+E381</f>
        <v>14744.1</v>
      </c>
      <c r="F374" s="17">
        <f aca="true" t="shared" si="128" ref="F374">F378+F375+F381</f>
        <v>12763</v>
      </c>
    </row>
    <row r="375" spans="1:6" ht="47.25">
      <c r="A375" s="105" t="s">
        <v>54</v>
      </c>
      <c r="B375" s="105">
        <v>1110310230</v>
      </c>
      <c r="C375" s="105"/>
      <c r="D375" s="124" t="s">
        <v>317</v>
      </c>
      <c r="E375" s="17">
        <f>E376</f>
        <v>2760</v>
      </c>
      <c r="F375" s="17">
        <f aca="true" t="shared" si="129" ref="F375:F376">F376</f>
        <v>2759.9</v>
      </c>
    </row>
    <row r="376" spans="1:6" ht="31.5">
      <c r="A376" s="105" t="s">
        <v>54</v>
      </c>
      <c r="B376" s="105">
        <v>1110310230</v>
      </c>
      <c r="C376" s="107" t="s">
        <v>97</v>
      </c>
      <c r="D376" s="106" t="s">
        <v>98</v>
      </c>
      <c r="E376" s="17">
        <f>E377</f>
        <v>2760</v>
      </c>
      <c r="F376" s="17">
        <f t="shared" si="129"/>
        <v>2759.9</v>
      </c>
    </row>
    <row r="377" spans="1:6" ht="12.75">
      <c r="A377" s="105" t="s">
        <v>54</v>
      </c>
      <c r="B377" s="105">
        <v>1110310230</v>
      </c>
      <c r="C377" s="105">
        <v>610</v>
      </c>
      <c r="D377" s="106" t="s">
        <v>106</v>
      </c>
      <c r="E377" s="17">
        <f>'№ 6'!F617</f>
        <v>2760</v>
      </c>
      <c r="F377" s="17">
        <f>'№ 6'!G617</f>
        <v>2759.9</v>
      </c>
    </row>
    <row r="378" spans="1:6" ht="47.25">
      <c r="A378" s="42" t="s">
        <v>54</v>
      </c>
      <c r="B378" s="42" t="s">
        <v>190</v>
      </c>
      <c r="C378" s="42"/>
      <c r="D378" s="63" t="s">
        <v>189</v>
      </c>
      <c r="E378" s="17">
        <f>E379</f>
        <v>2760</v>
      </c>
      <c r="F378" s="17">
        <f aca="true" t="shared" si="130" ref="F378:F379">F379</f>
        <v>2759.9</v>
      </c>
    </row>
    <row r="379" spans="1:6" ht="31.5">
      <c r="A379" s="42" t="s">
        <v>54</v>
      </c>
      <c r="B379" s="42" t="s">
        <v>190</v>
      </c>
      <c r="C379" s="43" t="s">
        <v>97</v>
      </c>
      <c r="D379" s="57" t="s">
        <v>98</v>
      </c>
      <c r="E379" s="17">
        <f>E380</f>
        <v>2760</v>
      </c>
      <c r="F379" s="17">
        <f t="shared" si="130"/>
        <v>2759.9</v>
      </c>
    </row>
    <row r="380" spans="1:6" ht="12.75">
      <c r="A380" s="42" t="s">
        <v>54</v>
      </c>
      <c r="B380" s="42" t="s">
        <v>190</v>
      </c>
      <c r="C380" s="42">
        <v>610</v>
      </c>
      <c r="D380" s="57" t="s">
        <v>106</v>
      </c>
      <c r="E380" s="17">
        <f>'№ 6'!F620</f>
        <v>2760</v>
      </c>
      <c r="F380" s="17">
        <f>'№ 6'!G620</f>
        <v>2759.9</v>
      </c>
    </row>
    <row r="381" spans="1:6" ht="47.25">
      <c r="A381" s="235" t="s">
        <v>54</v>
      </c>
      <c r="B381" s="235" t="s">
        <v>424</v>
      </c>
      <c r="C381" s="235"/>
      <c r="D381" s="238" t="s">
        <v>426</v>
      </c>
      <c r="E381" s="17">
        <f>E382</f>
        <v>9224.1</v>
      </c>
      <c r="F381" s="17">
        <f aca="true" t="shared" si="131" ref="F381:F382">F382</f>
        <v>7243.2</v>
      </c>
    </row>
    <row r="382" spans="1:6" ht="31.5">
      <c r="A382" s="235" t="s">
        <v>54</v>
      </c>
      <c r="B382" s="235" t="s">
        <v>424</v>
      </c>
      <c r="C382" s="237" t="s">
        <v>97</v>
      </c>
      <c r="D382" s="236" t="s">
        <v>98</v>
      </c>
      <c r="E382" s="17">
        <f>E383</f>
        <v>9224.1</v>
      </c>
      <c r="F382" s="17">
        <f t="shared" si="131"/>
        <v>7243.2</v>
      </c>
    </row>
    <row r="383" spans="1:6" ht="12.75">
      <c r="A383" s="235" t="s">
        <v>54</v>
      </c>
      <c r="B383" s="235" t="s">
        <v>424</v>
      </c>
      <c r="C383" s="235">
        <v>610</v>
      </c>
      <c r="D383" s="236" t="s">
        <v>106</v>
      </c>
      <c r="E383" s="17">
        <f>'№ 6'!F623</f>
        <v>9224.1</v>
      </c>
      <c r="F383" s="17">
        <f>'№ 6'!G623</f>
        <v>7243.2</v>
      </c>
    </row>
    <row r="384" spans="1:6" ht="69" customHeight="1">
      <c r="A384" s="42" t="s">
        <v>54</v>
      </c>
      <c r="B384" s="42">
        <v>1110700000</v>
      </c>
      <c r="C384" s="42"/>
      <c r="D384" s="63" t="s">
        <v>318</v>
      </c>
      <c r="E384" s="17">
        <f>E391+E388+E385</f>
        <v>6277</v>
      </c>
      <c r="F384" s="17">
        <f aca="true" t="shared" si="132" ref="F384">F391+F388+F385</f>
        <v>6270.4</v>
      </c>
    </row>
    <row r="385" spans="1:6" ht="47.25">
      <c r="A385" s="151" t="s">
        <v>54</v>
      </c>
      <c r="B385" s="151">
        <v>1110710440</v>
      </c>
      <c r="C385" s="151"/>
      <c r="D385" s="152" t="s">
        <v>351</v>
      </c>
      <c r="E385" s="17">
        <f>E386</f>
        <v>3436.1000000000004</v>
      </c>
      <c r="F385" s="17">
        <f aca="true" t="shared" si="133" ref="F385:F386">F386</f>
        <v>3429.5</v>
      </c>
    </row>
    <row r="386" spans="1:6" ht="31.5">
      <c r="A386" s="151" t="s">
        <v>54</v>
      </c>
      <c r="B386" s="151">
        <v>1110710440</v>
      </c>
      <c r="C386" s="153" t="s">
        <v>97</v>
      </c>
      <c r="D386" s="152" t="s">
        <v>98</v>
      </c>
      <c r="E386" s="17">
        <f>E387</f>
        <v>3436.1000000000004</v>
      </c>
      <c r="F386" s="17">
        <f t="shared" si="133"/>
        <v>3429.5</v>
      </c>
    </row>
    <row r="387" spans="1:6" ht="12.75">
      <c r="A387" s="151" t="s">
        <v>54</v>
      </c>
      <c r="B387" s="151">
        <v>1110710440</v>
      </c>
      <c r="C387" s="151">
        <v>610</v>
      </c>
      <c r="D387" s="152" t="s">
        <v>106</v>
      </c>
      <c r="E387" s="17">
        <f>'№ 6'!F627</f>
        <v>3436.1000000000004</v>
      </c>
      <c r="F387" s="17">
        <f>'№ 6'!G627</f>
        <v>3429.5</v>
      </c>
    </row>
    <row r="388" spans="1:6" ht="31.5">
      <c r="A388" s="132" t="s">
        <v>54</v>
      </c>
      <c r="B388" s="10" t="s">
        <v>320</v>
      </c>
      <c r="C388" s="132"/>
      <c r="D388" s="73" t="s">
        <v>321</v>
      </c>
      <c r="E388" s="17">
        <f>E389</f>
        <v>1899.8000000000002</v>
      </c>
      <c r="F388" s="17">
        <f aca="true" t="shared" si="134" ref="F388:F389">F389</f>
        <v>1899.8</v>
      </c>
    </row>
    <row r="389" spans="1:6" ht="31.5">
      <c r="A389" s="132" t="s">
        <v>54</v>
      </c>
      <c r="B389" s="10" t="s">
        <v>320</v>
      </c>
      <c r="C389" s="134" t="s">
        <v>97</v>
      </c>
      <c r="D389" s="133" t="s">
        <v>98</v>
      </c>
      <c r="E389" s="17">
        <f>E390</f>
        <v>1899.8000000000002</v>
      </c>
      <c r="F389" s="17">
        <f t="shared" si="134"/>
        <v>1899.8</v>
      </c>
    </row>
    <row r="390" spans="1:6" ht="12.75">
      <c r="A390" s="132" t="s">
        <v>54</v>
      </c>
      <c r="B390" s="10" t="s">
        <v>320</v>
      </c>
      <c r="C390" s="132">
        <v>610</v>
      </c>
      <c r="D390" s="133" t="s">
        <v>106</v>
      </c>
      <c r="E390" s="17">
        <f>'№ 6'!F630</f>
        <v>1899.8000000000002</v>
      </c>
      <c r="F390" s="17">
        <f>'№ 6'!G630</f>
        <v>1899.8</v>
      </c>
    </row>
    <row r="391" spans="1:6" ht="36" customHeight="1">
      <c r="A391" s="42" t="s">
        <v>54</v>
      </c>
      <c r="B391" s="126" t="s">
        <v>319</v>
      </c>
      <c r="C391" s="126"/>
      <c r="D391" s="127" t="s">
        <v>250</v>
      </c>
      <c r="E391" s="17">
        <f>E392</f>
        <v>941.0999999999998</v>
      </c>
      <c r="F391" s="17">
        <f aca="true" t="shared" si="135" ref="F391:F392">F392</f>
        <v>941.1</v>
      </c>
    </row>
    <row r="392" spans="1:6" ht="31.5">
      <c r="A392" s="42" t="s">
        <v>54</v>
      </c>
      <c r="B392" s="126" t="s">
        <v>319</v>
      </c>
      <c r="C392" s="128" t="s">
        <v>97</v>
      </c>
      <c r="D392" s="127" t="s">
        <v>98</v>
      </c>
      <c r="E392" s="17">
        <f>E393</f>
        <v>941.0999999999998</v>
      </c>
      <c r="F392" s="17">
        <f t="shared" si="135"/>
        <v>941.1</v>
      </c>
    </row>
    <row r="393" spans="1:6" ht="12.75">
      <c r="A393" s="42" t="s">
        <v>54</v>
      </c>
      <c r="B393" s="126" t="s">
        <v>319</v>
      </c>
      <c r="C393" s="126">
        <v>610</v>
      </c>
      <c r="D393" s="127" t="s">
        <v>106</v>
      </c>
      <c r="E393" s="17">
        <f>'№ 6'!F633</f>
        <v>941.0999999999998</v>
      </c>
      <c r="F393" s="17">
        <f>'№ 6'!G633</f>
        <v>941.1</v>
      </c>
    </row>
    <row r="394" spans="1:6" ht="47.25">
      <c r="A394" s="239" t="s">
        <v>54</v>
      </c>
      <c r="B394" s="239">
        <v>1110800000</v>
      </c>
      <c r="C394" s="239"/>
      <c r="D394" s="240" t="s">
        <v>427</v>
      </c>
      <c r="E394" s="17">
        <f>E395</f>
        <v>4843.4</v>
      </c>
      <c r="F394" s="17">
        <f aca="true" t="shared" si="136" ref="F394:F396">F395</f>
        <v>4448.5</v>
      </c>
    </row>
    <row r="395" spans="1:6" ht="47.25">
      <c r="A395" s="239" t="s">
        <v>54</v>
      </c>
      <c r="B395" s="239">
        <v>1110853031</v>
      </c>
      <c r="C395" s="239"/>
      <c r="D395" s="219" t="s">
        <v>428</v>
      </c>
      <c r="E395" s="17">
        <f>E396</f>
        <v>4843.4</v>
      </c>
      <c r="F395" s="17">
        <f t="shared" si="136"/>
        <v>4448.5</v>
      </c>
    </row>
    <row r="396" spans="1:6" ht="31.5">
      <c r="A396" s="239" t="s">
        <v>54</v>
      </c>
      <c r="B396" s="239">
        <v>1110853031</v>
      </c>
      <c r="C396" s="241" t="s">
        <v>97</v>
      </c>
      <c r="D396" s="240" t="s">
        <v>98</v>
      </c>
      <c r="E396" s="17">
        <f>E397</f>
        <v>4843.4</v>
      </c>
      <c r="F396" s="17">
        <f t="shared" si="136"/>
        <v>4448.5</v>
      </c>
    </row>
    <row r="397" spans="1:6" ht="12.75">
      <c r="A397" s="239" t="s">
        <v>54</v>
      </c>
      <c r="B397" s="239">
        <v>1110853031</v>
      </c>
      <c r="C397" s="239">
        <v>610</v>
      </c>
      <c r="D397" s="240" t="s">
        <v>106</v>
      </c>
      <c r="E397" s="17">
        <f>'№ 6'!F637</f>
        <v>4843.4</v>
      </c>
      <c r="F397" s="17">
        <f>'№ 6'!G637</f>
        <v>4448.5</v>
      </c>
    </row>
    <row r="398" spans="1:6" ht="12.75">
      <c r="A398" s="42" t="s">
        <v>54</v>
      </c>
      <c r="B398" s="42">
        <v>1120000000</v>
      </c>
      <c r="C398" s="42"/>
      <c r="D398" s="57" t="s">
        <v>124</v>
      </c>
      <c r="E398" s="17">
        <f>E399</f>
        <v>4395</v>
      </c>
      <c r="F398" s="17">
        <f aca="true" t="shared" si="137" ref="F398:F401">F399</f>
        <v>4395</v>
      </c>
    </row>
    <row r="399" spans="1:6" ht="47.25">
      <c r="A399" s="42" t="s">
        <v>54</v>
      </c>
      <c r="B399" s="42">
        <v>1120100000</v>
      </c>
      <c r="C399" s="42"/>
      <c r="D399" s="57" t="s">
        <v>125</v>
      </c>
      <c r="E399" s="17">
        <f>E400</f>
        <v>4395</v>
      </c>
      <c r="F399" s="17">
        <f t="shared" si="137"/>
        <v>4395</v>
      </c>
    </row>
    <row r="400" spans="1:6" ht="31.5">
      <c r="A400" s="42" t="s">
        <v>54</v>
      </c>
      <c r="B400" s="42">
        <v>1120120010</v>
      </c>
      <c r="C400" s="42"/>
      <c r="D400" s="57" t="s">
        <v>126</v>
      </c>
      <c r="E400" s="17">
        <f>E401</f>
        <v>4395</v>
      </c>
      <c r="F400" s="17">
        <f t="shared" si="137"/>
        <v>4395</v>
      </c>
    </row>
    <row r="401" spans="1:6" ht="31.5">
      <c r="A401" s="42" t="s">
        <v>54</v>
      </c>
      <c r="B401" s="42">
        <v>1120120010</v>
      </c>
      <c r="C401" s="43" t="s">
        <v>97</v>
      </c>
      <c r="D401" s="57" t="s">
        <v>98</v>
      </c>
      <c r="E401" s="17">
        <f>E402</f>
        <v>4395</v>
      </c>
      <c r="F401" s="17">
        <f t="shared" si="137"/>
        <v>4395</v>
      </c>
    </row>
    <row r="402" spans="1:6" ht="12.75">
      <c r="A402" s="42" t="s">
        <v>54</v>
      </c>
      <c r="B402" s="42">
        <v>1120120010</v>
      </c>
      <c r="C402" s="42">
        <v>610</v>
      </c>
      <c r="D402" s="57" t="s">
        <v>106</v>
      </c>
      <c r="E402" s="17">
        <f>'№ 6'!F642</f>
        <v>4395</v>
      </c>
      <c r="F402" s="17">
        <f>'№ 6'!G642</f>
        <v>4395</v>
      </c>
    </row>
    <row r="403" spans="1:6" ht="31.5">
      <c r="A403" s="42" t="s">
        <v>54</v>
      </c>
      <c r="B403" s="42">
        <v>1130000000</v>
      </c>
      <c r="C403" s="42"/>
      <c r="D403" s="57" t="s">
        <v>117</v>
      </c>
      <c r="E403" s="17">
        <f>E404</f>
        <v>121.3</v>
      </c>
      <c r="F403" s="17">
        <f aca="true" t="shared" si="138" ref="F403">F404</f>
        <v>0</v>
      </c>
    </row>
    <row r="404" spans="1:6" ht="31.5">
      <c r="A404" s="42" t="s">
        <v>54</v>
      </c>
      <c r="B404" s="42">
        <v>1130100000</v>
      </c>
      <c r="C404" s="42"/>
      <c r="D404" s="57" t="s">
        <v>240</v>
      </c>
      <c r="E404" s="17">
        <f>E405</f>
        <v>121.3</v>
      </c>
      <c r="F404" s="17">
        <f>F405</f>
        <v>0</v>
      </c>
    </row>
    <row r="405" spans="1:6" ht="39.6" customHeight="1">
      <c r="A405" s="101" t="s">
        <v>54</v>
      </c>
      <c r="B405" s="103">
        <v>1130111080</v>
      </c>
      <c r="C405" s="101"/>
      <c r="D405" s="102" t="s">
        <v>306</v>
      </c>
      <c r="E405" s="17">
        <f>E406</f>
        <v>121.3</v>
      </c>
      <c r="F405" s="17">
        <f aca="true" t="shared" si="139" ref="F405:F406">F406</f>
        <v>0</v>
      </c>
    </row>
    <row r="406" spans="1:6" ht="31.5">
      <c r="A406" s="101" t="s">
        <v>54</v>
      </c>
      <c r="B406" s="103">
        <v>1130111080</v>
      </c>
      <c r="C406" s="103" t="s">
        <v>97</v>
      </c>
      <c r="D406" s="102" t="s">
        <v>98</v>
      </c>
      <c r="E406" s="17">
        <f>E407</f>
        <v>121.3</v>
      </c>
      <c r="F406" s="17">
        <f t="shared" si="139"/>
        <v>0</v>
      </c>
    </row>
    <row r="407" spans="1:6" ht="12.75">
      <c r="A407" s="101" t="s">
        <v>54</v>
      </c>
      <c r="B407" s="103">
        <v>1130111080</v>
      </c>
      <c r="C407" s="101">
        <v>610</v>
      </c>
      <c r="D407" s="102" t="s">
        <v>106</v>
      </c>
      <c r="E407" s="17">
        <f>'№ 6'!F647</f>
        <v>121.3</v>
      </c>
      <c r="F407" s="17">
        <f>'№ 6'!G647</f>
        <v>0</v>
      </c>
    </row>
    <row r="408" spans="1:6" ht="31.5">
      <c r="A408" s="89" t="s">
        <v>54</v>
      </c>
      <c r="B408" s="91">
        <v>1500000000</v>
      </c>
      <c r="C408" s="89"/>
      <c r="D408" s="73" t="s">
        <v>198</v>
      </c>
      <c r="E408" s="17">
        <f>E409</f>
        <v>317.40000000000003</v>
      </c>
      <c r="F408" s="17">
        <f aca="true" t="shared" si="140" ref="F408:F415">F409</f>
        <v>317.4</v>
      </c>
    </row>
    <row r="409" spans="1:6" ht="31.5">
      <c r="A409" s="89" t="s">
        <v>54</v>
      </c>
      <c r="B409" s="91">
        <v>1520000000</v>
      </c>
      <c r="C409" s="89"/>
      <c r="D409" s="73" t="s">
        <v>286</v>
      </c>
      <c r="E409" s="17">
        <f>E410</f>
        <v>317.40000000000003</v>
      </c>
      <c r="F409" s="17">
        <f t="shared" si="140"/>
        <v>317.4</v>
      </c>
    </row>
    <row r="410" spans="1:6" ht="63">
      <c r="A410" s="89" t="s">
        <v>54</v>
      </c>
      <c r="B410" s="89">
        <v>1520100000</v>
      </c>
      <c r="C410" s="89"/>
      <c r="D410" s="73" t="s">
        <v>287</v>
      </c>
      <c r="E410" s="17">
        <f>E414+E411</f>
        <v>317.40000000000003</v>
      </c>
      <c r="F410" s="17">
        <f aca="true" t="shared" si="141" ref="F410">F414+F411</f>
        <v>317.4</v>
      </c>
    </row>
    <row r="411" spans="1:6" ht="47.25">
      <c r="A411" s="151" t="s">
        <v>54</v>
      </c>
      <c r="B411" s="151">
        <v>1520110440</v>
      </c>
      <c r="C411" s="151"/>
      <c r="D411" s="152" t="s">
        <v>351</v>
      </c>
      <c r="E411" s="17">
        <f>E412</f>
        <v>158.70000000000002</v>
      </c>
      <c r="F411" s="17">
        <f aca="true" t="shared" si="142" ref="F411:F412">F412</f>
        <v>158.7</v>
      </c>
    </row>
    <row r="412" spans="1:6" ht="31.5">
      <c r="A412" s="151" t="s">
        <v>54</v>
      </c>
      <c r="B412" s="151">
        <v>1520110440</v>
      </c>
      <c r="C412" s="153" t="s">
        <v>97</v>
      </c>
      <c r="D412" s="152" t="s">
        <v>98</v>
      </c>
      <c r="E412" s="17">
        <f>E413</f>
        <v>158.70000000000002</v>
      </c>
      <c r="F412" s="17">
        <f t="shared" si="142"/>
        <v>158.7</v>
      </c>
    </row>
    <row r="413" spans="1:6" ht="12.75">
      <c r="A413" s="151" t="s">
        <v>54</v>
      </c>
      <c r="B413" s="151">
        <v>1520110440</v>
      </c>
      <c r="C413" s="151">
        <v>610</v>
      </c>
      <c r="D413" s="152" t="s">
        <v>106</v>
      </c>
      <c r="E413" s="17">
        <f>'№ 6'!F653</f>
        <v>158.70000000000002</v>
      </c>
      <c r="F413" s="17">
        <f>'№ 6'!G653</f>
        <v>158.7</v>
      </c>
    </row>
    <row r="414" spans="1:6" ht="39" customHeight="1">
      <c r="A414" s="89" t="s">
        <v>54</v>
      </c>
      <c r="B414" s="89" t="s">
        <v>288</v>
      </c>
      <c r="C414" s="89"/>
      <c r="D414" s="90" t="s">
        <v>250</v>
      </c>
      <c r="E414" s="17">
        <f>E415</f>
        <v>158.70000000000002</v>
      </c>
      <c r="F414" s="17">
        <f t="shared" si="140"/>
        <v>158.7</v>
      </c>
    </row>
    <row r="415" spans="1:6" ht="31.5">
      <c r="A415" s="89" t="s">
        <v>54</v>
      </c>
      <c r="B415" s="10" t="s">
        <v>288</v>
      </c>
      <c r="C415" s="91" t="s">
        <v>97</v>
      </c>
      <c r="D415" s="90" t="s">
        <v>98</v>
      </c>
      <c r="E415" s="17">
        <f>E416</f>
        <v>158.70000000000002</v>
      </c>
      <c r="F415" s="17">
        <f t="shared" si="140"/>
        <v>158.7</v>
      </c>
    </row>
    <row r="416" spans="1:6" ht="12.75">
      <c r="A416" s="89" t="s">
        <v>54</v>
      </c>
      <c r="B416" s="10" t="s">
        <v>288</v>
      </c>
      <c r="C416" s="89">
        <v>610</v>
      </c>
      <c r="D416" s="90" t="s">
        <v>106</v>
      </c>
      <c r="E416" s="17">
        <f>'№ 6'!F656</f>
        <v>158.70000000000002</v>
      </c>
      <c r="F416" s="17">
        <f>'№ 6'!G656</f>
        <v>158.7</v>
      </c>
    </row>
    <row r="417" spans="1:6" ht="12.75">
      <c r="A417" s="198" t="s">
        <v>54</v>
      </c>
      <c r="B417" s="198">
        <v>9900000000</v>
      </c>
      <c r="C417" s="198"/>
      <c r="D417" s="73" t="s">
        <v>107</v>
      </c>
      <c r="E417" s="17">
        <f>E418</f>
        <v>50</v>
      </c>
      <c r="F417" s="17">
        <f aca="true" t="shared" si="143" ref="F417:F420">F418</f>
        <v>50</v>
      </c>
    </row>
    <row r="418" spans="1:6" ht="47.25">
      <c r="A418" s="198" t="s">
        <v>54</v>
      </c>
      <c r="B418" s="198">
        <v>9920000000</v>
      </c>
      <c r="C418" s="198"/>
      <c r="D418" s="73" t="s">
        <v>381</v>
      </c>
      <c r="E418" s="17">
        <f>E419</f>
        <v>50</v>
      </c>
      <c r="F418" s="17">
        <f t="shared" si="143"/>
        <v>50</v>
      </c>
    </row>
    <row r="419" spans="1:6" ht="47.25">
      <c r="A419" s="198" t="s">
        <v>54</v>
      </c>
      <c r="B419" s="198">
        <v>9920010920</v>
      </c>
      <c r="C419" s="198"/>
      <c r="D419" s="73" t="s">
        <v>382</v>
      </c>
      <c r="E419" s="17">
        <f>E420</f>
        <v>50</v>
      </c>
      <c r="F419" s="17">
        <f t="shared" si="143"/>
        <v>50</v>
      </c>
    </row>
    <row r="420" spans="1:6" ht="31.5">
      <c r="A420" s="198" t="s">
        <v>54</v>
      </c>
      <c r="B420" s="198">
        <v>9920010920</v>
      </c>
      <c r="C420" s="198" t="s">
        <v>97</v>
      </c>
      <c r="D420" s="73" t="s">
        <v>98</v>
      </c>
      <c r="E420" s="17">
        <f>E421</f>
        <v>50</v>
      </c>
      <c r="F420" s="17">
        <f t="shared" si="143"/>
        <v>50</v>
      </c>
    </row>
    <row r="421" spans="1:6" ht="12.75">
      <c r="A421" s="198" t="s">
        <v>54</v>
      </c>
      <c r="B421" s="198">
        <v>9920010920</v>
      </c>
      <c r="C421" s="198">
        <v>610</v>
      </c>
      <c r="D421" s="73" t="s">
        <v>106</v>
      </c>
      <c r="E421" s="17">
        <f>'№ 6'!F661</f>
        <v>50</v>
      </c>
      <c r="F421" s="17">
        <f>'№ 6'!G661</f>
        <v>50</v>
      </c>
    </row>
    <row r="422" spans="1:6" ht="12.75">
      <c r="A422" s="42" t="s">
        <v>91</v>
      </c>
      <c r="B422" s="42" t="s">
        <v>69</v>
      </c>
      <c r="C422" s="42" t="s">
        <v>69</v>
      </c>
      <c r="D422" s="63" t="s">
        <v>92</v>
      </c>
      <c r="E422" s="17">
        <f>E423+E444</f>
        <v>34185.799999999996</v>
      </c>
      <c r="F422" s="17">
        <f aca="true" t="shared" si="144" ref="F422">F423+F444</f>
        <v>34185.799999999996</v>
      </c>
    </row>
    <row r="423" spans="1:6" ht="42" customHeight="1">
      <c r="A423" s="42" t="s">
        <v>91</v>
      </c>
      <c r="B423" s="43">
        <v>1100000000</v>
      </c>
      <c r="C423" s="42"/>
      <c r="D423" s="57" t="s">
        <v>202</v>
      </c>
      <c r="E423" s="17">
        <f>E424+E439</f>
        <v>34091.799999999996</v>
      </c>
      <c r="F423" s="17">
        <f aca="true" t="shared" si="145" ref="F423">F424+F439</f>
        <v>34091.799999999996</v>
      </c>
    </row>
    <row r="424" spans="1:6" ht="12.75">
      <c r="A424" s="42" t="s">
        <v>91</v>
      </c>
      <c r="B424" s="42">
        <v>1120000000</v>
      </c>
      <c r="C424" s="42"/>
      <c r="D424" s="57" t="s">
        <v>124</v>
      </c>
      <c r="E424" s="17">
        <f>E425+E435</f>
        <v>34083.799999999996</v>
      </c>
      <c r="F424" s="17">
        <f aca="true" t="shared" si="146" ref="F424">F425+F435</f>
        <v>34083.799999999996</v>
      </c>
    </row>
    <row r="425" spans="1:6" ht="47.25">
      <c r="A425" s="42" t="s">
        <v>91</v>
      </c>
      <c r="B425" s="42">
        <v>1120100000</v>
      </c>
      <c r="C425" s="42"/>
      <c r="D425" s="57" t="s">
        <v>125</v>
      </c>
      <c r="E425" s="17">
        <f>E429+E426+E432</f>
        <v>33868.799999999996</v>
      </c>
      <c r="F425" s="17">
        <f aca="true" t="shared" si="147" ref="F425">F429+F426+F432</f>
        <v>33868.799999999996</v>
      </c>
    </row>
    <row r="426" spans="1:6" ht="47.25">
      <c r="A426" s="101" t="s">
        <v>91</v>
      </c>
      <c r="B426" s="101">
        <v>1120110690</v>
      </c>
      <c r="C426" s="101"/>
      <c r="D426" s="73" t="s">
        <v>298</v>
      </c>
      <c r="E426" s="17">
        <f>E427</f>
        <v>9268.599999999999</v>
      </c>
      <c r="F426" s="17">
        <f aca="true" t="shared" si="148" ref="F426:F427">F427</f>
        <v>9268.599999999999</v>
      </c>
    </row>
    <row r="427" spans="1:6" ht="31.5">
      <c r="A427" s="101" t="s">
        <v>91</v>
      </c>
      <c r="B427" s="101">
        <v>1120110690</v>
      </c>
      <c r="C427" s="103" t="s">
        <v>97</v>
      </c>
      <c r="D427" s="73" t="s">
        <v>98</v>
      </c>
      <c r="E427" s="17">
        <f>E428</f>
        <v>9268.599999999999</v>
      </c>
      <c r="F427" s="17">
        <f t="shared" si="148"/>
        <v>9268.599999999999</v>
      </c>
    </row>
    <row r="428" spans="1:6" ht="12.75">
      <c r="A428" s="101" t="s">
        <v>91</v>
      </c>
      <c r="B428" s="101">
        <v>1120110690</v>
      </c>
      <c r="C428" s="101">
        <v>610</v>
      </c>
      <c r="D428" s="73" t="s">
        <v>106</v>
      </c>
      <c r="E428" s="17">
        <f>'№ 6'!F298+'№ 6'!F668</f>
        <v>9268.599999999999</v>
      </c>
      <c r="F428" s="17">
        <f>'№ 6'!G298+'№ 6'!G668</f>
        <v>9268.599999999999</v>
      </c>
    </row>
    <row r="429" spans="1:6" ht="31.5">
      <c r="A429" s="42" t="s">
        <v>91</v>
      </c>
      <c r="B429" s="42">
        <v>1120120010</v>
      </c>
      <c r="C429" s="42"/>
      <c r="D429" s="57" t="s">
        <v>126</v>
      </c>
      <c r="E429" s="17">
        <f aca="true" t="shared" si="149" ref="E429:F430">E430</f>
        <v>24507.5</v>
      </c>
      <c r="F429" s="17">
        <f t="shared" si="149"/>
        <v>24507.5</v>
      </c>
    </row>
    <row r="430" spans="1:6" ht="31.5">
      <c r="A430" s="42" t="s">
        <v>91</v>
      </c>
      <c r="B430" s="97">
        <v>1120120010</v>
      </c>
      <c r="C430" s="99" t="s">
        <v>97</v>
      </c>
      <c r="D430" s="98" t="s">
        <v>98</v>
      </c>
      <c r="E430" s="17">
        <f t="shared" si="149"/>
        <v>24507.5</v>
      </c>
      <c r="F430" s="17">
        <f t="shared" si="149"/>
        <v>24507.5</v>
      </c>
    </row>
    <row r="431" spans="1:6" ht="12.75">
      <c r="A431" s="42" t="s">
        <v>91</v>
      </c>
      <c r="B431" s="97">
        <v>1120120010</v>
      </c>
      <c r="C431" s="97">
        <v>610</v>
      </c>
      <c r="D431" s="98" t="s">
        <v>106</v>
      </c>
      <c r="E431" s="17">
        <f>'№ 6'!F671+'№ 6'!F301</f>
        <v>24507.5</v>
      </c>
      <c r="F431" s="17">
        <f>'№ 6'!G671+'№ 6'!G301</f>
        <v>24507.5</v>
      </c>
    </row>
    <row r="432" spans="1:6" ht="47.25">
      <c r="A432" s="105" t="s">
        <v>91</v>
      </c>
      <c r="B432" s="105" t="s">
        <v>309</v>
      </c>
      <c r="C432" s="105"/>
      <c r="D432" s="73" t="s">
        <v>310</v>
      </c>
      <c r="E432" s="17">
        <f>E433</f>
        <v>92.69999999999999</v>
      </c>
      <c r="F432" s="17">
        <f aca="true" t="shared" si="150" ref="F432:F433">F433</f>
        <v>92.69999999999999</v>
      </c>
    </row>
    <row r="433" spans="1:6" ht="31.5">
      <c r="A433" s="105" t="s">
        <v>91</v>
      </c>
      <c r="B433" s="105" t="s">
        <v>309</v>
      </c>
      <c r="C433" s="107" t="s">
        <v>97</v>
      </c>
      <c r="D433" s="73" t="s">
        <v>98</v>
      </c>
      <c r="E433" s="17">
        <f>E434</f>
        <v>92.69999999999999</v>
      </c>
      <c r="F433" s="17">
        <f t="shared" si="150"/>
        <v>92.69999999999999</v>
      </c>
    </row>
    <row r="434" spans="1:6" ht="12.75">
      <c r="A434" s="105" t="s">
        <v>91</v>
      </c>
      <c r="B434" s="105" t="s">
        <v>309</v>
      </c>
      <c r="C434" s="105">
        <v>610</v>
      </c>
      <c r="D434" s="73" t="s">
        <v>106</v>
      </c>
      <c r="E434" s="17">
        <f>'№ 6'!F674+'№ 6'!F304</f>
        <v>92.69999999999999</v>
      </c>
      <c r="F434" s="17">
        <f>'№ 6'!G674+'№ 6'!G304</f>
        <v>92.69999999999999</v>
      </c>
    </row>
    <row r="435" spans="1:6" ht="63">
      <c r="A435" s="132" t="s">
        <v>91</v>
      </c>
      <c r="B435" s="132">
        <v>1120300000</v>
      </c>
      <c r="C435" s="132"/>
      <c r="D435" s="73" t="s">
        <v>324</v>
      </c>
      <c r="E435" s="111">
        <f>E436</f>
        <v>215</v>
      </c>
      <c r="F435" s="111">
        <f aca="true" t="shared" si="151" ref="F435:F437">F436</f>
        <v>215</v>
      </c>
    </row>
    <row r="436" spans="1:6" ht="31.5">
      <c r="A436" s="132" t="s">
        <v>91</v>
      </c>
      <c r="B436" s="132">
        <v>1120320020</v>
      </c>
      <c r="C436" s="132"/>
      <c r="D436" s="73" t="s">
        <v>321</v>
      </c>
      <c r="E436" s="111">
        <f>E437</f>
        <v>215</v>
      </c>
      <c r="F436" s="111">
        <f t="shared" si="151"/>
        <v>215</v>
      </c>
    </row>
    <row r="437" spans="1:6" ht="31.5">
      <c r="A437" s="132" t="s">
        <v>91</v>
      </c>
      <c r="B437" s="132">
        <v>1120320020</v>
      </c>
      <c r="C437" s="134" t="s">
        <v>97</v>
      </c>
      <c r="D437" s="73" t="s">
        <v>98</v>
      </c>
      <c r="E437" s="111">
        <f>E438</f>
        <v>215</v>
      </c>
      <c r="F437" s="111">
        <f t="shared" si="151"/>
        <v>215</v>
      </c>
    </row>
    <row r="438" spans="1:6" ht="12.75">
      <c r="A438" s="132" t="s">
        <v>91</v>
      </c>
      <c r="B438" s="132">
        <v>1120320020</v>
      </c>
      <c r="C438" s="132">
        <v>610</v>
      </c>
      <c r="D438" s="73" t="s">
        <v>106</v>
      </c>
      <c r="E438" s="111">
        <f>'№ 6'!F308</f>
        <v>215</v>
      </c>
      <c r="F438" s="111">
        <f>'№ 6'!G308</f>
        <v>215</v>
      </c>
    </row>
    <row r="439" spans="1:6" ht="31.5">
      <c r="A439" s="232" t="s">
        <v>91</v>
      </c>
      <c r="B439" s="232">
        <v>1130000000</v>
      </c>
      <c r="C439" s="232"/>
      <c r="D439" s="73" t="s">
        <v>117</v>
      </c>
      <c r="E439" s="111">
        <f>E440</f>
        <v>8</v>
      </c>
      <c r="F439" s="111">
        <f aca="true" t="shared" si="152" ref="F439:F442">F440</f>
        <v>8</v>
      </c>
    </row>
    <row r="440" spans="1:6" ht="39" customHeight="1">
      <c r="A440" s="232" t="s">
        <v>91</v>
      </c>
      <c r="B440" s="232">
        <v>1130500000</v>
      </c>
      <c r="C440" s="232"/>
      <c r="D440" s="73" t="s">
        <v>422</v>
      </c>
      <c r="E440" s="111">
        <f>E441</f>
        <v>8</v>
      </c>
      <c r="F440" s="111">
        <f t="shared" si="152"/>
        <v>8</v>
      </c>
    </row>
    <row r="441" spans="1:6" ht="31.5">
      <c r="A441" s="232" t="s">
        <v>91</v>
      </c>
      <c r="B441" s="232">
        <v>1130520300</v>
      </c>
      <c r="C441" s="232"/>
      <c r="D441" s="73" t="s">
        <v>423</v>
      </c>
      <c r="E441" s="111">
        <f>E442</f>
        <v>8</v>
      </c>
      <c r="F441" s="111">
        <f t="shared" si="152"/>
        <v>8</v>
      </c>
    </row>
    <row r="442" spans="1:6" ht="31.5">
      <c r="A442" s="232" t="s">
        <v>91</v>
      </c>
      <c r="B442" s="232">
        <v>1130520300</v>
      </c>
      <c r="C442" s="234" t="s">
        <v>72</v>
      </c>
      <c r="D442" s="233" t="s">
        <v>95</v>
      </c>
      <c r="E442" s="111">
        <f>E443</f>
        <v>8</v>
      </c>
      <c r="F442" s="111">
        <f t="shared" si="152"/>
        <v>8</v>
      </c>
    </row>
    <row r="443" spans="1:6" ht="31.5">
      <c r="A443" s="232" t="s">
        <v>91</v>
      </c>
      <c r="B443" s="232">
        <v>1130520300</v>
      </c>
      <c r="C443" s="232">
        <v>240</v>
      </c>
      <c r="D443" s="233" t="s">
        <v>257</v>
      </c>
      <c r="E443" s="111">
        <f>'№ 6'!F313</f>
        <v>8</v>
      </c>
      <c r="F443" s="111">
        <f>'№ 6'!G313</f>
        <v>8</v>
      </c>
    </row>
    <row r="444" spans="1:6" ht="31.5">
      <c r="A444" s="252" t="s">
        <v>91</v>
      </c>
      <c r="B444" s="254">
        <v>1500000000</v>
      </c>
      <c r="C444" s="252"/>
      <c r="D444" s="73" t="s">
        <v>198</v>
      </c>
      <c r="E444" s="111">
        <f>E445</f>
        <v>94</v>
      </c>
      <c r="F444" s="111">
        <f aca="true" t="shared" si="153" ref="F444:F448">F445</f>
        <v>94</v>
      </c>
    </row>
    <row r="445" spans="1:6" ht="31.5">
      <c r="A445" s="252" t="s">
        <v>91</v>
      </c>
      <c r="B445" s="254">
        <v>1520000000</v>
      </c>
      <c r="C445" s="252"/>
      <c r="D445" s="73" t="s">
        <v>286</v>
      </c>
      <c r="E445" s="111">
        <f>E446</f>
        <v>94</v>
      </c>
      <c r="F445" s="111">
        <f t="shared" si="153"/>
        <v>94</v>
      </c>
    </row>
    <row r="446" spans="1:6" ht="67.9" customHeight="1">
      <c r="A446" s="252" t="s">
        <v>91</v>
      </c>
      <c r="B446" s="252">
        <v>1520100000</v>
      </c>
      <c r="C446" s="252"/>
      <c r="D446" s="73" t="s">
        <v>287</v>
      </c>
      <c r="E446" s="111">
        <f>E447</f>
        <v>94</v>
      </c>
      <c r="F446" s="111">
        <f t="shared" si="153"/>
        <v>94</v>
      </c>
    </row>
    <row r="447" spans="1:6" ht="31.5">
      <c r="A447" s="252" t="s">
        <v>91</v>
      </c>
      <c r="B447" s="10" t="s">
        <v>454</v>
      </c>
      <c r="C447" s="252"/>
      <c r="D447" s="73" t="s">
        <v>455</v>
      </c>
      <c r="E447" s="111">
        <f>E448</f>
        <v>94</v>
      </c>
      <c r="F447" s="111">
        <f t="shared" si="153"/>
        <v>94</v>
      </c>
    </row>
    <row r="448" spans="1:6" ht="31.5">
      <c r="A448" s="252" t="s">
        <v>91</v>
      </c>
      <c r="B448" s="10" t="s">
        <v>454</v>
      </c>
      <c r="C448" s="254" t="s">
        <v>97</v>
      </c>
      <c r="D448" s="73" t="s">
        <v>98</v>
      </c>
      <c r="E448" s="111">
        <f>E449</f>
        <v>94</v>
      </c>
      <c r="F448" s="111">
        <f t="shared" si="153"/>
        <v>94</v>
      </c>
    </row>
    <row r="449" spans="1:6" ht="12.75">
      <c r="A449" s="252" t="s">
        <v>91</v>
      </c>
      <c r="B449" s="10" t="s">
        <v>454</v>
      </c>
      <c r="C449" s="252">
        <v>610</v>
      </c>
      <c r="D449" s="73" t="s">
        <v>106</v>
      </c>
      <c r="E449" s="111">
        <f>'№ 6'!F680</f>
        <v>94</v>
      </c>
      <c r="F449" s="111">
        <f>'№ 6'!G680</f>
        <v>94</v>
      </c>
    </row>
    <row r="450" spans="1:6" ht="31.5">
      <c r="A450" s="23" t="s">
        <v>226</v>
      </c>
      <c r="B450" s="95"/>
      <c r="C450" s="95"/>
      <c r="D450" s="96" t="s">
        <v>259</v>
      </c>
      <c r="E450" s="111">
        <f aca="true" t="shared" si="154" ref="E450:F455">E451</f>
        <v>144.6</v>
      </c>
      <c r="F450" s="17">
        <f t="shared" si="154"/>
        <v>134.6</v>
      </c>
    </row>
    <row r="451" spans="1:6" ht="47.25">
      <c r="A451" s="23" t="s">
        <v>226</v>
      </c>
      <c r="B451" s="43">
        <v>1600000000</v>
      </c>
      <c r="C451" s="43"/>
      <c r="D451" s="57" t="s">
        <v>116</v>
      </c>
      <c r="E451" s="17">
        <f t="shared" si="154"/>
        <v>144.6</v>
      </c>
      <c r="F451" s="17">
        <f t="shared" si="154"/>
        <v>134.6</v>
      </c>
    </row>
    <row r="452" spans="1:6" ht="47.25">
      <c r="A452" s="23" t="s">
        <v>226</v>
      </c>
      <c r="B452" s="43">
        <v>1640000000</v>
      </c>
      <c r="C452" s="1"/>
      <c r="D452" s="64" t="s">
        <v>228</v>
      </c>
      <c r="E452" s="17">
        <f t="shared" si="154"/>
        <v>144.6</v>
      </c>
      <c r="F452" s="17">
        <f t="shared" si="154"/>
        <v>134.6</v>
      </c>
    </row>
    <row r="453" spans="1:6" ht="31.5">
      <c r="A453" s="23" t="s">
        <v>226</v>
      </c>
      <c r="B453" s="43">
        <v>1640100000</v>
      </c>
      <c r="C453" s="42"/>
      <c r="D453" s="57" t="s">
        <v>230</v>
      </c>
      <c r="E453" s="17">
        <f t="shared" si="154"/>
        <v>144.6</v>
      </c>
      <c r="F453" s="17">
        <f t="shared" si="154"/>
        <v>134.6</v>
      </c>
    </row>
    <row r="454" spans="1:6" ht="12.75">
      <c r="A454" s="23" t="s">
        <v>226</v>
      </c>
      <c r="B454" s="43">
        <v>1640120510</v>
      </c>
      <c r="C454" s="42"/>
      <c r="D454" s="57" t="s">
        <v>232</v>
      </c>
      <c r="E454" s="17">
        <f t="shared" si="154"/>
        <v>144.6</v>
      </c>
      <c r="F454" s="17">
        <f t="shared" si="154"/>
        <v>134.6</v>
      </c>
    </row>
    <row r="455" spans="1:6" ht="31.5">
      <c r="A455" s="23" t="s">
        <v>226</v>
      </c>
      <c r="B455" s="43">
        <v>1640120510</v>
      </c>
      <c r="C455" s="43" t="s">
        <v>72</v>
      </c>
      <c r="D455" s="57" t="s">
        <v>95</v>
      </c>
      <c r="E455" s="17">
        <f t="shared" si="154"/>
        <v>144.6</v>
      </c>
      <c r="F455" s="17">
        <f t="shared" si="154"/>
        <v>134.6</v>
      </c>
    </row>
    <row r="456" spans="1:6" ht="31.5">
      <c r="A456" s="23" t="s">
        <v>226</v>
      </c>
      <c r="B456" s="43">
        <v>1640120510</v>
      </c>
      <c r="C456" s="42">
        <v>240</v>
      </c>
      <c r="D456" s="57" t="s">
        <v>257</v>
      </c>
      <c r="E456" s="17">
        <f>'№ 6'!F320</f>
        <v>144.6</v>
      </c>
      <c r="F456" s="17">
        <f>'№ 6'!G320</f>
        <v>134.6</v>
      </c>
    </row>
    <row r="457" spans="1:6" ht="12.75">
      <c r="A457" s="42" t="s">
        <v>40</v>
      </c>
      <c r="B457" s="42" t="s">
        <v>69</v>
      </c>
      <c r="C457" s="42" t="s">
        <v>69</v>
      </c>
      <c r="D457" s="63" t="s">
        <v>99</v>
      </c>
      <c r="E457" s="22">
        <f>E458+E473</f>
        <v>374.29999999999995</v>
      </c>
      <c r="F457" s="22">
        <f>F458+F473</f>
        <v>328.8</v>
      </c>
    </row>
    <row r="458" spans="1:6" ht="39.6" customHeight="1">
      <c r="A458" s="42" t="s">
        <v>40</v>
      </c>
      <c r="B458" s="43">
        <v>1100000000</v>
      </c>
      <c r="C458" s="42"/>
      <c r="D458" s="57" t="s">
        <v>202</v>
      </c>
      <c r="E458" s="17">
        <f>E464+E459</f>
        <v>315.4</v>
      </c>
      <c r="F458" s="17">
        <f>F464+F459</f>
        <v>270</v>
      </c>
    </row>
    <row r="459" spans="1:6" ht="12.75">
      <c r="A459" s="42" t="s">
        <v>40</v>
      </c>
      <c r="B459" s="42">
        <v>1110000000</v>
      </c>
      <c r="C459" s="42"/>
      <c r="D459" s="63" t="s">
        <v>183</v>
      </c>
      <c r="E459" s="17">
        <f>E460</f>
        <v>229.89999999999998</v>
      </c>
      <c r="F459" s="17">
        <f aca="true" t="shared" si="155" ref="F459:F462">F460</f>
        <v>229.9</v>
      </c>
    </row>
    <row r="460" spans="1:6" ht="12.75">
      <c r="A460" s="42" t="s">
        <v>40</v>
      </c>
      <c r="B460" s="42">
        <v>1110400000</v>
      </c>
      <c r="C460" s="42"/>
      <c r="D460" s="63" t="s">
        <v>191</v>
      </c>
      <c r="E460" s="17">
        <f>E461</f>
        <v>229.89999999999998</v>
      </c>
      <c r="F460" s="17">
        <f>F461</f>
        <v>229.9</v>
      </c>
    </row>
    <row r="461" spans="1:6" ht="31.5">
      <c r="A461" s="42" t="s">
        <v>40</v>
      </c>
      <c r="B461" s="42" t="s">
        <v>193</v>
      </c>
      <c r="C461" s="42"/>
      <c r="D461" s="63" t="s">
        <v>192</v>
      </c>
      <c r="E461" s="17">
        <f>E462</f>
        <v>229.89999999999998</v>
      </c>
      <c r="F461" s="17">
        <f t="shared" si="155"/>
        <v>229.9</v>
      </c>
    </row>
    <row r="462" spans="1:6" ht="12.75">
      <c r="A462" s="42" t="s">
        <v>40</v>
      </c>
      <c r="B462" s="42" t="s">
        <v>193</v>
      </c>
      <c r="C462" s="1" t="s">
        <v>76</v>
      </c>
      <c r="D462" s="64" t="s">
        <v>77</v>
      </c>
      <c r="E462" s="17">
        <f>E463</f>
        <v>229.89999999999998</v>
      </c>
      <c r="F462" s="17">
        <f t="shared" si="155"/>
        <v>229.9</v>
      </c>
    </row>
    <row r="463" spans="1:6" ht="31.5">
      <c r="A463" s="42" t="s">
        <v>40</v>
      </c>
      <c r="B463" s="42" t="s">
        <v>193</v>
      </c>
      <c r="C463" s="42">
        <v>320</v>
      </c>
      <c r="D463" s="57" t="s">
        <v>104</v>
      </c>
      <c r="E463" s="17">
        <f>'№ 6'!F687</f>
        <v>229.89999999999998</v>
      </c>
      <c r="F463" s="17">
        <f>'№ 6'!G687</f>
        <v>229.9</v>
      </c>
    </row>
    <row r="464" spans="1:6" ht="31.5">
      <c r="A464" s="42" t="s">
        <v>40</v>
      </c>
      <c r="B464" s="43">
        <v>1130000000</v>
      </c>
      <c r="C464" s="42"/>
      <c r="D464" s="63" t="s">
        <v>117</v>
      </c>
      <c r="E464" s="17">
        <f>E465+E469</f>
        <v>85.5</v>
      </c>
      <c r="F464" s="17">
        <f aca="true" t="shared" si="156" ref="F464">F465+F469</f>
        <v>40.1</v>
      </c>
    </row>
    <row r="465" spans="1:6" ht="31.5">
      <c r="A465" s="42" t="s">
        <v>40</v>
      </c>
      <c r="B465" s="42">
        <v>1130200000</v>
      </c>
      <c r="C465" s="42"/>
      <c r="D465" s="63" t="s">
        <v>194</v>
      </c>
      <c r="E465" s="17">
        <f>E466</f>
        <v>15.7</v>
      </c>
      <c r="F465" s="17">
        <f aca="true" t="shared" si="157" ref="F465:F467">F466</f>
        <v>15.6</v>
      </c>
    </row>
    <row r="466" spans="1:6" ht="31.5">
      <c r="A466" s="42" t="s">
        <v>40</v>
      </c>
      <c r="B466" s="42">
        <v>1130220270</v>
      </c>
      <c r="C466" s="42"/>
      <c r="D466" s="63" t="s">
        <v>195</v>
      </c>
      <c r="E466" s="17">
        <f>E467</f>
        <v>15.7</v>
      </c>
      <c r="F466" s="17">
        <f t="shared" si="157"/>
        <v>15.6</v>
      </c>
    </row>
    <row r="467" spans="1:6" ht="12.75">
      <c r="A467" s="42" t="s">
        <v>40</v>
      </c>
      <c r="B467" s="42">
        <v>1130220270</v>
      </c>
      <c r="C467" s="43" t="s">
        <v>76</v>
      </c>
      <c r="D467" s="57" t="s">
        <v>77</v>
      </c>
      <c r="E467" s="17">
        <f>E468</f>
        <v>15.7</v>
      </c>
      <c r="F467" s="17">
        <f t="shared" si="157"/>
        <v>15.6</v>
      </c>
    </row>
    <row r="468" spans="1:6" ht="12.75">
      <c r="A468" s="42" t="s">
        <v>40</v>
      </c>
      <c r="B468" s="42">
        <v>1130220270</v>
      </c>
      <c r="C468" s="42">
        <v>350</v>
      </c>
      <c r="D468" s="63" t="s">
        <v>165</v>
      </c>
      <c r="E468" s="17">
        <f>'№ 6'!F327</f>
        <v>15.7</v>
      </c>
      <c r="F468" s="17">
        <f>'№ 6'!G327</f>
        <v>15.6</v>
      </c>
    </row>
    <row r="469" spans="1:6" ht="31.5">
      <c r="A469" s="42" t="s">
        <v>40</v>
      </c>
      <c r="B469" s="42">
        <v>1130400000</v>
      </c>
      <c r="C469" s="42"/>
      <c r="D469" s="63" t="s">
        <v>148</v>
      </c>
      <c r="E469" s="17">
        <f>E470</f>
        <v>69.8</v>
      </c>
      <c r="F469" s="17">
        <f aca="true" t="shared" si="158" ref="F469:F471">F470</f>
        <v>24.5</v>
      </c>
    </row>
    <row r="470" spans="1:6" ht="31.5">
      <c r="A470" s="42" t="s">
        <v>40</v>
      </c>
      <c r="B470" s="42">
        <v>1130420290</v>
      </c>
      <c r="C470" s="42"/>
      <c r="D470" s="63" t="s">
        <v>149</v>
      </c>
      <c r="E470" s="17">
        <f>E471</f>
        <v>69.8</v>
      </c>
      <c r="F470" s="17">
        <f t="shared" si="158"/>
        <v>24.5</v>
      </c>
    </row>
    <row r="471" spans="1:6" ht="31.5">
      <c r="A471" s="42" t="s">
        <v>40</v>
      </c>
      <c r="B471" s="42">
        <v>1130420290</v>
      </c>
      <c r="C471" s="76" t="s">
        <v>72</v>
      </c>
      <c r="D471" s="75" t="s">
        <v>95</v>
      </c>
      <c r="E471" s="17">
        <f>E472</f>
        <v>69.8</v>
      </c>
      <c r="F471" s="17">
        <f t="shared" si="158"/>
        <v>24.5</v>
      </c>
    </row>
    <row r="472" spans="1:6" ht="31.5">
      <c r="A472" s="42" t="s">
        <v>40</v>
      </c>
      <c r="B472" s="42">
        <v>1130420290</v>
      </c>
      <c r="C472" s="74">
        <v>240</v>
      </c>
      <c r="D472" s="75" t="s">
        <v>257</v>
      </c>
      <c r="E472" s="17">
        <f>'№ 6'!F331</f>
        <v>69.8</v>
      </c>
      <c r="F472" s="17">
        <f>'№ 6'!G331</f>
        <v>24.5</v>
      </c>
    </row>
    <row r="473" spans="1:6" ht="47.25">
      <c r="A473" s="42" t="s">
        <v>40</v>
      </c>
      <c r="B473" s="43">
        <v>1200000000</v>
      </c>
      <c r="C473" s="42"/>
      <c r="D473" s="63" t="s">
        <v>197</v>
      </c>
      <c r="E473" s="17">
        <f>E474</f>
        <v>58.9</v>
      </c>
      <c r="F473" s="17">
        <f aca="true" t="shared" si="159" ref="F473:F474">F474</f>
        <v>58.8</v>
      </c>
    </row>
    <row r="474" spans="1:6" ht="31.5">
      <c r="A474" s="42" t="s">
        <v>40</v>
      </c>
      <c r="B474" s="43">
        <v>1240000000</v>
      </c>
      <c r="C474" s="10"/>
      <c r="D474" s="63" t="s">
        <v>140</v>
      </c>
      <c r="E474" s="17">
        <f>E475</f>
        <v>58.9</v>
      </c>
      <c r="F474" s="17">
        <f t="shared" si="159"/>
        <v>58.8</v>
      </c>
    </row>
    <row r="475" spans="1:6" ht="31.5">
      <c r="A475" s="42" t="s">
        <v>40</v>
      </c>
      <c r="B475" s="10" t="s">
        <v>142</v>
      </c>
      <c r="C475" s="10"/>
      <c r="D475" s="63" t="s">
        <v>148</v>
      </c>
      <c r="E475" s="17">
        <f>E476+E479</f>
        <v>58.9</v>
      </c>
      <c r="F475" s="17">
        <f>F476+F479</f>
        <v>58.8</v>
      </c>
    </row>
    <row r="476" spans="1:6" ht="31.5">
      <c r="A476" s="42" t="s">
        <v>40</v>
      </c>
      <c r="B476" s="10" t="s">
        <v>144</v>
      </c>
      <c r="C476" s="10"/>
      <c r="D476" s="63" t="s">
        <v>143</v>
      </c>
      <c r="E476" s="17">
        <f>E477</f>
        <v>22.9</v>
      </c>
      <c r="F476" s="17">
        <f aca="true" t="shared" si="160" ref="F476:F477">F477</f>
        <v>22.8</v>
      </c>
    </row>
    <row r="477" spans="1:6" ht="31.5">
      <c r="A477" s="42" t="s">
        <v>40</v>
      </c>
      <c r="B477" s="10" t="s">
        <v>144</v>
      </c>
      <c r="C477" s="43" t="s">
        <v>72</v>
      </c>
      <c r="D477" s="57" t="s">
        <v>95</v>
      </c>
      <c r="E477" s="17">
        <f>E478</f>
        <v>22.9</v>
      </c>
      <c r="F477" s="17">
        <f t="shared" si="160"/>
        <v>22.8</v>
      </c>
    </row>
    <row r="478" spans="1:6" ht="31.5">
      <c r="A478" s="42" t="s">
        <v>40</v>
      </c>
      <c r="B478" s="10" t="s">
        <v>144</v>
      </c>
      <c r="C478" s="42">
        <v>240</v>
      </c>
      <c r="D478" s="57" t="s">
        <v>257</v>
      </c>
      <c r="E478" s="17">
        <f>'№ 6'!F337</f>
        <v>22.9</v>
      </c>
      <c r="F478" s="17">
        <f>'№ 6'!G337</f>
        <v>22.8</v>
      </c>
    </row>
    <row r="479" spans="1:6" ht="12.75">
      <c r="A479" s="42" t="s">
        <v>40</v>
      </c>
      <c r="B479" s="10" t="s">
        <v>227</v>
      </c>
      <c r="C479" s="10"/>
      <c r="D479" s="63" t="s">
        <v>145</v>
      </c>
      <c r="E479" s="17">
        <f>E480</f>
        <v>36</v>
      </c>
      <c r="F479" s="17">
        <f aca="true" t="shared" si="161" ref="F479:F480">F480</f>
        <v>36</v>
      </c>
    </row>
    <row r="480" spans="1:6" ht="12.75">
      <c r="A480" s="42" t="s">
        <v>40</v>
      </c>
      <c r="B480" s="10" t="s">
        <v>227</v>
      </c>
      <c r="C480" s="43" t="s">
        <v>76</v>
      </c>
      <c r="D480" s="57" t="s">
        <v>77</v>
      </c>
      <c r="E480" s="17">
        <f>E481</f>
        <v>36</v>
      </c>
      <c r="F480" s="17">
        <f t="shared" si="161"/>
        <v>36</v>
      </c>
    </row>
    <row r="481" spans="1:6" ht="12.75">
      <c r="A481" s="42" t="s">
        <v>40</v>
      </c>
      <c r="B481" s="10" t="s">
        <v>227</v>
      </c>
      <c r="C481" s="10" t="s">
        <v>146</v>
      </c>
      <c r="D481" s="63" t="s">
        <v>147</v>
      </c>
      <c r="E481" s="17">
        <f>'№ 6'!F340</f>
        <v>36</v>
      </c>
      <c r="F481" s="17">
        <f>'№ 6'!G340</f>
        <v>36</v>
      </c>
    </row>
    <row r="482" spans="1:6" ht="12.75">
      <c r="A482" s="42" t="s">
        <v>55</v>
      </c>
      <c r="B482" s="42" t="s">
        <v>69</v>
      </c>
      <c r="C482" s="42" t="s">
        <v>69</v>
      </c>
      <c r="D482" s="63" t="s">
        <v>13</v>
      </c>
      <c r="E482" s="17">
        <f>E483+E493</f>
        <v>6164.299999999999</v>
      </c>
      <c r="F482" s="17">
        <f>F483+F493</f>
        <v>6164.3</v>
      </c>
    </row>
    <row r="483" spans="1:6" ht="47.25">
      <c r="A483" s="42" t="s">
        <v>55</v>
      </c>
      <c r="B483" s="43">
        <v>1100000000</v>
      </c>
      <c r="C483" s="42"/>
      <c r="D483" s="57" t="s">
        <v>202</v>
      </c>
      <c r="E483" s="17">
        <f>E484</f>
        <v>179</v>
      </c>
      <c r="F483" s="17">
        <f aca="true" t="shared" si="162" ref="F483:F491">F484</f>
        <v>179</v>
      </c>
    </row>
    <row r="484" spans="1:6" ht="31.5">
      <c r="A484" s="42" t="s">
        <v>55</v>
      </c>
      <c r="B484" s="43">
        <v>1130000000</v>
      </c>
      <c r="C484" s="25"/>
      <c r="D484" s="63" t="s">
        <v>117</v>
      </c>
      <c r="E484" s="17">
        <f>E489+E485</f>
        <v>179</v>
      </c>
      <c r="F484" s="17">
        <f aca="true" t="shared" si="163" ref="F484">F489+F485</f>
        <v>179</v>
      </c>
    </row>
    <row r="485" spans="1:6" ht="31.5">
      <c r="A485" s="42" t="s">
        <v>55</v>
      </c>
      <c r="B485" s="42">
        <v>1130100000</v>
      </c>
      <c r="C485" s="25"/>
      <c r="D485" s="63" t="s">
        <v>240</v>
      </c>
      <c r="E485" s="17">
        <f>E486</f>
        <v>110.60000000000001</v>
      </c>
      <c r="F485" s="17">
        <f aca="true" t="shared" si="164" ref="F485:F487">F486</f>
        <v>110.6</v>
      </c>
    </row>
    <row r="486" spans="1:6" ht="31.5">
      <c r="A486" s="42" t="s">
        <v>55</v>
      </c>
      <c r="B486" s="43">
        <v>1130120260</v>
      </c>
      <c r="C486" s="25"/>
      <c r="D486" s="63" t="s">
        <v>241</v>
      </c>
      <c r="E486" s="17">
        <f>E487</f>
        <v>110.60000000000001</v>
      </c>
      <c r="F486" s="17">
        <f t="shared" si="164"/>
        <v>110.6</v>
      </c>
    </row>
    <row r="487" spans="1:6" ht="31.5">
      <c r="A487" s="42" t="s">
        <v>55</v>
      </c>
      <c r="B487" s="43">
        <v>1130120260</v>
      </c>
      <c r="C487" s="42" t="s">
        <v>72</v>
      </c>
      <c r="D487" s="63" t="s">
        <v>95</v>
      </c>
      <c r="E487" s="17">
        <f>E488</f>
        <v>110.60000000000001</v>
      </c>
      <c r="F487" s="17">
        <f t="shared" si="164"/>
        <v>110.6</v>
      </c>
    </row>
    <row r="488" spans="1:6" ht="31.5">
      <c r="A488" s="42" t="s">
        <v>55</v>
      </c>
      <c r="B488" s="43">
        <v>1130120260</v>
      </c>
      <c r="C488" s="42">
        <v>240</v>
      </c>
      <c r="D488" s="63" t="s">
        <v>257</v>
      </c>
      <c r="E488" s="17">
        <f>'№ 6'!F694</f>
        <v>110.60000000000001</v>
      </c>
      <c r="F488" s="17">
        <f>'№ 6'!G694</f>
        <v>110.6</v>
      </c>
    </row>
    <row r="489" spans="1:6" ht="31.5">
      <c r="A489" s="42" t="s">
        <v>55</v>
      </c>
      <c r="B489" s="42">
        <v>1130200000</v>
      </c>
      <c r="C489" s="42"/>
      <c r="D489" s="63" t="s">
        <v>194</v>
      </c>
      <c r="E489" s="17">
        <f>E490</f>
        <v>68.39999999999999</v>
      </c>
      <c r="F489" s="17">
        <f t="shared" si="162"/>
        <v>68.4</v>
      </c>
    </row>
    <row r="490" spans="1:6" ht="31.5">
      <c r="A490" s="42" t="s">
        <v>55</v>
      </c>
      <c r="B490" s="42">
        <v>1130220270</v>
      </c>
      <c r="C490" s="42"/>
      <c r="D490" s="63" t="s">
        <v>195</v>
      </c>
      <c r="E490" s="17">
        <f>E491</f>
        <v>68.39999999999999</v>
      </c>
      <c r="F490" s="17">
        <f t="shared" si="162"/>
        <v>68.4</v>
      </c>
    </row>
    <row r="491" spans="1:6" ht="31.5">
      <c r="A491" s="42" t="s">
        <v>55</v>
      </c>
      <c r="B491" s="42">
        <v>1130220270</v>
      </c>
      <c r="C491" s="42" t="s">
        <v>72</v>
      </c>
      <c r="D491" s="63" t="s">
        <v>95</v>
      </c>
      <c r="E491" s="17">
        <f>E492</f>
        <v>68.39999999999999</v>
      </c>
      <c r="F491" s="17">
        <f t="shared" si="162"/>
        <v>68.4</v>
      </c>
    </row>
    <row r="492" spans="1:6" ht="31.5">
      <c r="A492" s="42" t="s">
        <v>55</v>
      </c>
      <c r="B492" s="42">
        <v>1130220270</v>
      </c>
      <c r="C492" s="42">
        <v>240</v>
      </c>
      <c r="D492" s="63" t="s">
        <v>257</v>
      </c>
      <c r="E492" s="17">
        <f>'№ 6'!F698</f>
        <v>68.39999999999999</v>
      </c>
      <c r="F492" s="17">
        <f>'№ 6'!G698</f>
        <v>68.4</v>
      </c>
    </row>
    <row r="493" spans="1:6" ht="12.75">
      <c r="A493" s="42" t="s">
        <v>55</v>
      </c>
      <c r="B493" s="42">
        <v>9900000000</v>
      </c>
      <c r="C493" s="42"/>
      <c r="D493" s="63" t="s">
        <v>107</v>
      </c>
      <c r="E493" s="17">
        <f>E494</f>
        <v>5985.299999999999</v>
      </c>
      <c r="F493" s="17">
        <f aca="true" t="shared" si="165" ref="F493:F494">F494</f>
        <v>5985.3</v>
      </c>
    </row>
    <row r="494" spans="1:6" ht="31.5">
      <c r="A494" s="42" t="s">
        <v>55</v>
      </c>
      <c r="B494" s="42">
        <v>9990000000</v>
      </c>
      <c r="C494" s="42"/>
      <c r="D494" s="63" t="s">
        <v>160</v>
      </c>
      <c r="E494" s="17">
        <f>E495</f>
        <v>5985.299999999999</v>
      </c>
      <c r="F494" s="17">
        <f t="shared" si="165"/>
        <v>5985.3</v>
      </c>
    </row>
    <row r="495" spans="1:6" ht="31.5">
      <c r="A495" s="42" t="s">
        <v>55</v>
      </c>
      <c r="B495" s="42">
        <v>9990200000</v>
      </c>
      <c r="C495" s="25"/>
      <c r="D495" s="63" t="s">
        <v>120</v>
      </c>
      <c r="E495" s="17">
        <f>E496</f>
        <v>5985.299999999999</v>
      </c>
      <c r="F495" s="17">
        <f aca="true" t="shared" si="166" ref="F495:F497">F496</f>
        <v>5985.3</v>
      </c>
    </row>
    <row r="496" spans="1:6" ht="47.25">
      <c r="A496" s="42" t="s">
        <v>55</v>
      </c>
      <c r="B496" s="42">
        <v>9990225000</v>
      </c>
      <c r="C496" s="42"/>
      <c r="D496" s="63" t="s">
        <v>121</v>
      </c>
      <c r="E496" s="17">
        <f>E497+E499</f>
        <v>5985.299999999999</v>
      </c>
      <c r="F496" s="17">
        <f aca="true" t="shared" si="167" ref="F496">F497+F499</f>
        <v>5985.3</v>
      </c>
    </row>
    <row r="497" spans="1:6" ht="63">
      <c r="A497" s="42" t="s">
        <v>55</v>
      </c>
      <c r="B497" s="42">
        <v>9990225000</v>
      </c>
      <c r="C497" s="42" t="s">
        <v>71</v>
      </c>
      <c r="D497" s="63" t="s">
        <v>1</v>
      </c>
      <c r="E497" s="17">
        <f>E498</f>
        <v>5961.099999999999</v>
      </c>
      <c r="F497" s="17">
        <f t="shared" si="166"/>
        <v>5961.1</v>
      </c>
    </row>
    <row r="498" spans="1:6" ht="31.5">
      <c r="A498" s="42" t="s">
        <v>55</v>
      </c>
      <c r="B498" s="42">
        <v>9990225000</v>
      </c>
      <c r="C498" s="42">
        <v>120</v>
      </c>
      <c r="D498" s="63" t="s">
        <v>258</v>
      </c>
      <c r="E498" s="17">
        <f>'№ 6'!F704</f>
        <v>5961.099999999999</v>
      </c>
      <c r="F498" s="17">
        <f>'№ 6'!G704</f>
        <v>5961.1</v>
      </c>
    </row>
    <row r="499" spans="1:6" ht="12.75">
      <c r="A499" s="42" t="s">
        <v>55</v>
      </c>
      <c r="B499" s="68">
        <v>9990225000</v>
      </c>
      <c r="C499" s="42" t="s">
        <v>73</v>
      </c>
      <c r="D499" s="63" t="s">
        <v>74</v>
      </c>
      <c r="E499" s="17">
        <f>E500</f>
        <v>24.199999999999996</v>
      </c>
      <c r="F499" s="17">
        <f aca="true" t="shared" si="168" ref="F499">F500</f>
        <v>24.2</v>
      </c>
    </row>
    <row r="500" spans="1:6" ht="12.75">
      <c r="A500" s="42" t="s">
        <v>55</v>
      </c>
      <c r="B500" s="68">
        <v>9990225000</v>
      </c>
      <c r="C500" s="42">
        <v>850</v>
      </c>
      <c r="D500" s="63" t="s">
        <v>102</v>
      </c>
      <c r="E500" s="17">
        <f>'№ 6'!F706</f>
        <v>24.199999999999996</v>
      </c>
      <c r="F500" s="17">
        <f>'№ 6'!G706</f>
        <v>24.2</v>
      </c>
    </row>
    <row r="501" spans="1:6" ht="12.75">
      <c r="A501" s="4" t="s">
        <v>43</v>
      </c>
      <c r="B501" s="4" t="s">
        <v>69</v>
      </c>
      <c r="C501" s="4" t="s">
        <v>69</v>
      </c>
      <c r="D501" s="20" t="s">
        <v>85</v>
      </c>
      <c r="E501" s="6">
        <f>E502</f>
        <v>41375</v>
      </c>
      <c r="F501" s="6">
        <f aca="true" t="shared" si="169" ref="F501">F502</f>
        <v>41375</v>
      </c>
    </row>
    <row r="502" spans="1:6" ht="12.75">
      <c r="A502" s="44" t="s">
        <v>44</v>
      </c>
      <c r="B502" s="44" t="s">
        <v>69</v>
      </c>
      <c r="C502" s="44" t="s">
        <v>69</v>
      </c>
      <c r="D502" s="13" t="s">
        <v>14</v>
      </c>
      <c r="E502" s="7">
        <f>E503+E538</f>
        <v>41375</v>
      </c>
      <c r="F502" s="7">
        <f>F503+F538</f>
        <v>41375</v>
      </c>
    </row>
    <row r="503" spans="1:6" ht="47.25">
      <c r="A503" s="42" t="s">
        <v>44</v>
      </c>
      <c r="B503" s="43">
        <v>1200000000</v>
      </c>
      <c r="C503" s="42"/>
      <c r="D503" s="63" t="s">
        <v>197</v>
      </c>
      <c r="E503" s="17">
        <f>E504+E519</f>
        <v>41295</v>
      </c>
      <c r="F503" s="17">
        <f aca="true" t="shared" si="170" ref="F503">F504+F519</f>
        <v>41295</v>
      </c>
    </row>
    <row r="504" spans="1:6" ht="31.5">
      <c r="A504" s="42" t="s">
        <v>44</v>
      </c>
      <c r="B504" s="43">
        <v>1210000000</v>
      </c>
      <c r="C504" s="42"/>
      <c r="D504" s="63" t="s">
        <v>211</v>
      </c>
      <c r="E504" s="17">
        <f>E505+E515</f>
        <v>14231.100000000002</v>
      </c>
      <c r="F504" s="17">
        <f>F505+F516</f>
        <v>14231.099999999999</v>
      </c>
    </row>
    <row r="505" spans="1:6" ht="31.5">
      <c r="A505" s="42" t="s">
        <v>44</v>
      </c>
      <c r="B505" s="43">
        <v>1210100000</v>
      </c>
      <c r="C505" s="42"/>
      <c r="D505" s="63" t="s">
        <v>212</v>
      </c>
      <c r="E505" s="17">
        <f>E509+E506+E512</f>
        <v>14151.100000000002</v>
      </c>
      <c r="F505" s="17">
        <f aca="true" t="shared" si="171" ref="F505">F509+F506+F512</f>
        <v>14151.099999999999</v>
      </c>
    </row>
    <row r="506" spans="1:6" ht="47.25">
      <c r="A506" s="101" t="s">
        <v>44</v>
      </c>
      <c r="B506" s="103">
        <v>1210110680</v>
      </c>
      <c r="C506" s="101"/>
      <c r="D506" s="93" t="s">
        <v>299</v>
      </c>
      <c r="E506" s="17">
        <f>E507</f>
        <v>4599.3</v>
      </c>
      <c r="F506" s="17">
        <f aca="true" t="shared" si="172" ref="F506:F507">F507</f>
        <v>4599.3</v>
      </c>
    </row>
    <row r="507" spans="1:6" ht="31.5">
      <c r="A507" s="101" t="s">
        <v>44</v>
      </c>
      <c r="B507" s="103">
        <v>1210110680</v>
      </c>
      <c r="C507" s="103" t="s">
        <v>97</v>
      </c>
      <c r="D507" s="73" t="s">
        <v>98</v>
      </c>
      <c r="E507" s="17">
        <f>E508</f>
        <v>4599.3</v>
      </c>
      <c r="F507" s="17">
        <f t="shared" si="172"/>
        <v>4599.3</v>
      </c>
    </row>
    <row r="508" spans="1:6" ht="12.75">
      <c r="A508" s="101" t="s">
        <v>44</v>
      </c>
      <c r="B508" s="103">
        <v>1210110680</v>
      </c>
      <c r="C508" s="101">
        <v>610</v>
      </c>
      <c r="D508" s="73" t="s">
        <v>106</v>
      </c>
      <c r="E508" s="17">
        <f>'№ 6'!F348</f>
        <v>4599.3</v>
      </c>
      <c r="F508" s="17">
        <f>'№ 6'!G348</f>
        <v>4599.3</v>
      </c>
    </row>
    <row r="509" spans="1:6" ht="31.5">
      <c r="A509" s="42" t="s">
        <v>44</v>
      </c>
      <c r="B509" s="43">
        <v>1210120010</v>
      </c>
      <c r="C509" s="42"/>
      <c r="D509" s="63" t="s">
        <v>126</v>
      </c>
      <c r="E509" s="17">
        <f>E510</f>
        <v>9505.300000000001</v>
      </c>
      <c r="F509" s="17">
        <f aca="true" t="shared" si="173" ref="F509:F510">F510</f>
        <v>9505.3</v>
      </c>
    </row>
    <row r="510" spans="1:6" ht="31.5">
      <c r="A510" s="42" t="s">
        <v>44</v>
      </c>
      <c r="B510" s="43">
        <v>1210120010</v>
      </c>
      <c r="C510" s="43" t="s">
        <v>97</v>
      </c>
      <c r="D510" s="57" t="s">
        <v>98</v>
      </c>
      <c r="E510" s="17">
        <f>E511</f>
        <v>9505.300000000001</v>
      </c>
      <c r="F510" s="17">
        <f t="shared" si="173"/>
        <v>9505.3</v>
      </c>
    </row>
    <row r="511" spans="1:6" ht="12.75">
      <c r="A511" s="42" t="s">
        <v>44</v>
      </c>
      <c r="B511" s="43">
        <v>1210120010</v>
      </c>
      <c r="C511" s="42">
        <v>610</v>
      </c>
      <c r="D511" s="57" t="s">
        <v>106</v>
      </c>
      <c r="E511" s="17">
        <f>'№ 6'!F351</f>
        <v>9505.300000000001</v>
      </c>
      <c r="F511" s="17">
        <f>'№ 6'!G351</f>
        <v>9505.3</v>
      </c>
    </row>
    <row r="512" spans="1:6" ht="47.25">
      <c r="A512" s="105" t="s">
        <v>44</v>
      </c>
      <c r="B512" s="107" t="s">
        <v>311</v>
      </c>
      <c r="C512" s="105"/>
      <c r="D512" s="93" t="s">
        <v>312</v>
      </c>
      <c r="E512" s="17">
        <f>E513</f>
        <v>46.5</v>
      </c>
      <c r="F512" s="17">
        <f aca="true" t="shared" si="174" ref="F512:F513">F513</f>
        <v>46.5</v>
      </c>
    </row>
    <row r="513" spans="1:6" ht="31.5">
      <c r="A513" s="105" t="s">
        <v>44</v>
      </c>
      <c r="B513" s="107" t="s">
        <v>311</v>
      </c>
      <c r="C513" s="107" t="s">
        <v>97</v>
      </c>
      <c r="D513" s="73" t="s">
        <v>98</v>
      </c>
      <c r="E513" s="17">
        <f>E514</f>
        <v>46.5</v>
      </c>
      <c r="F513" s="17">
        <f t="shared" si="174"/>
        <v>46.5</v>
      </c>
    </row>
    <row r="514" spans="1:6" ht="12.75">
      <c r="A514" s="105" t="s">
        <v>44</v>
      </c>
      <c r="B514" s="107" t="s">
        <v>311</v>
      </c>
      <c r="C514" s="105">
        <v>610</v>
      </c>
      <c r="D514" s="73" t="s">
        <v>106</v>
      </c>
      <c r="E514" s="17">
        <f>'№ 6'!F354</f>
        <v>46.5</v>
      </c>
      <c r="F514" s="17">
        <f>'№ 6'!G354</f>
        <v>46.5</v>
      </c>
    </row>
    <row r="515" spans="1:6" ht="39.6" customHeight="1">
      <c r="A515" s="105" t="s">
        <v>44</v>
      </c>
      <c r="B515" s="107">
        <v>1210300000</v>
      </c>
      <c r="C515" s="105"/>
      <c r="D515" s="69" t="s">
        <v>213</v>
      </c>
      <c r="E515" s="17">
        <f>E516</f>
        <v>80</v>
      </c>
      <c r="F515" s="17">
        <f aca="true" t="shared" si="175" ref="F515:F517">F516</f>
        <v>80</v>
      </c>
    </row>
    <row r="516" spans="1:6" ht="22.15" customHeight="1">
      <c r="A516" s="68" t="s">
        <v>44</v>
      </c>
      <c r="B516" s="252">
        <v>1210320010</v>
      </c>
      <c r="C516" s="252"/>
      <c r="D516" s="63" t="s">
        <v>254</v>
      </c>
      <c r="E516" s="17">
        <f>E517</f>
        <v>80</v>
      </c>
      <c r="F516" s="17">
        <f t="shared" si="175"/>
        <v>80</v>
      </c>
    </row>
    <row r="517" spans="1:6" ht="31.5">
      <c r="A517" s="42" t="s">
        <v>44</v>
      </c>
      <c r="B517" s="252">
        <v>1210320010</v>
      </c>
      <c r="C517" s="254" t="s">
        <v>97</v>
      </c>
      <c r="D517" s="253" t="s">
        <v>98</v>
      </c>
      <c r="E517" s="17">
        <f>E518</f>
        <v>80</v>
      </c>
      <c r="F517" s="17">
        <f t="shared" si="175"/>
        <v>80</v>
      </c>
    </row>
    <row r="518" spans="1:6" ht="12.75">
      <c r="A518" s="42" t="s">
        <v>44</v>
      </c>
      <c r="B518" s="252">
        <v>1210320010</v>
      </c>
      <c r="C518" s="252">
        <v>610</v>
      </c>
      <c r="D518" s="253" t="s">
        <v>106</v>
      </c>
      <c r="E518" s="17">
        <f>'№ 6'!F358</f>
        <v>80</v>
      </c>
      <c r="F518" s="17">
        <f>'№ 6'!G358</f>
        <v>80</v>
      </c>
    </row>
    <row r="519" spans="1:6" ht="39.6" customHeight="1">
      <c r="A519" s="42" t="s">
        <v>44</v>
      </c>
      <c r="B519" s="43">
        <v>1220000000</v>
      </c>
      <c r="C519" s="105"/>
      <c r="D519" s="63" t="s">
        <v>150</v>
      </c>
      <c r="E519" s="17">
        <f>E520+E530+E534</f>
        <v>27063.899999999998</v>
      </c>
      <c r="F519" s="17">
        <f aca="true" t="shared" si="176" ref="F519">F520+F530+F534</f>
        <v>27063.899999999998</v>
      </c>
    </row>
    <row r="520" spans="1:6" ht="36.6" customHeight="1">
      <c r="A520" s="42" t="s">
        <v>44</v>
      </c>
      <c r="B520" s="42">
        <v>1220100000</v>
      </c>
      <c r="C520" s="105"/>
      <c r="D520" s="63" t="s">
        <v>214</v>
      </c>
      <c r="E520" s="17">
        <f>E521+E524+E527</f>
        <v>25749.399999999998</v>
      </c>
      <c r="F520" s="17">
        <f aca="true" t="shared" si="177" ref="F520">F521+F524+F527</f>
        <v>25749.399999999998</v>
      </c>
    </row>
    <row r="521" spans="1:6" ht="47.25">
      <c r="A521" s="101" t="s">
        <v>44</v>
      </c>
      <c r="B521" s="101">
        <v>1220110680</v>
      </c>
      <c r="C521" s="101"/>
      <c r="D521" s="93" t="s">
        <v>299</v>
      </c>
      <c r="E521" s="17">
        <f>E522</f>
        <v>8393.8</v>
      </c>
      <c r="F521" s="17">
        <f aca="true" t="shared" si="178" ref="F521:F522">F522</f>
        <v>8393.8</v>
      </c>
    </row>
    <row r="522" spans="1:6" ht="31.5">
      <c r="A522" s="101" t="s">
        <v>44</v>
      </c>
      <c r="B522" s="101">
        <v>1220110680</v>
      </c>
      <c r="C522" s="103" t="s">
        <v>97</v>
      </c>
      <c r="D522" s="73" t="s">
        <v>98</v>
      </c>
      <c r="E522" s="17">
        <f>E523</f>
        <v>8393.8</v>
      </c>
      <c r="F522" s="17">
        <f t="shared" si="178"/>
        <v>8393.8</v>
      </c>
    </row>
    <row r="523" spans="1:6" ht="12.75">
      <c r="A523" s="101" t="s">
        <v>44</v>
      </c>
      <c r="B523" s="101">
        <v>1220110680</v>
      </c>
      <c r="C523" s="101">
        <v>610</v>
      </c>
      <c r="D523" s="73" t="s">
        <v>106</v>
      </c>
      <c r="E523" s="17">
        <f>'№ 6'!F363</f>
        <v>8393.8</v>
      </c>
      <c r="F523" s="17">
        <f>'№ 6'!G363</f>
        <v>8393.8</v>
      </c>
    </row>
    <row r="524" spans="1:6" ht="31.5">
      <c r="A524" s="42" t="s">
        <v>44</v>
      </c>
      <c r="B524" s="42">
        <v>1220120010</v>
      </c>
      <c r="C524" s="42"/>
      <c r="D524" s="106" t="s">
        <v>126</v>
      </c>
      <c r="E524" s="17">
        <f>E525</f>
        <v>17270.8</v>
      </c>
      <c r="F524" s="17">
        <f aca="true" t="shared" si="179" ref="F524:F525">F525</f>
        <v>17270.8</v>
      </c>
    </row>
    <row r="525" spans="1:6" ht="31.5">
      <c r="A525" s="42" t="s">
        <v>44</v>
      </c>
      <c r="B525" s="42">
        <v>1220120010</v>
      </c>
      <c r="C525" s="43" t="s">
        <v>97</v>
      </c>
      <c r="D525" s="106" t="s">
        <v>98</v>
      </c>
      <c r="E525" s="17">
        <f>E526</f>
        <v>17270.8</v>
      </c>
      <c r="F525" s="17">
        <f t="shared" si="179"/>
        <v>17270.8</v>
      </c>
    </row>
    <row r="526" spans="1:6" ht="12.75">
      <c r="A526" s="42" t="s">
        <v>44</v>
      </c>
      <c r="B526" s="42">
        <v>1220120010</v>
      </c>
      <c r="C526" s="42">
        <v>610</v>
      </c>
      <c r="D526" s="106" t="s">
        <v>106</v>
      </c>
      <c r="E526" s="17">
        <f>'№ 6'!F366</f>
        <v>17270.8</v>
      </c>
      <c r="F526" s="17">
        <f>'№ 6'!G366</f>
        <v>17270.8</v>
      </c>
    </row>
    <row r="527" spans="1:6" ht="47.25">
      <c r="A527" s="105" t="s">
        <v>44</v>
      </c>
      <c r="B527" s="105" t="s">
        <v>313</v>
      </c>
      <c r="C527" s="105"/>
      <c r="D527" s="93" t="s">
        <v>312</v>
      </c>
      <c r="E527" s="17">
        <f>E528</f>
        <v>84.8</v>
      </c>
      <c r="F527" s="17">
        <f aca="true" t="shared" si="180" ref="F527:F528">F528</f>
        <v>84.8</v>
      </c>
    </row>
    <row r="528" spans="1:6" ht="31.5">
      <c r="A528" s="105" t="s">
        <v>44</v>
      </c>
      <c r="B528" s="105" t="s">
        <v>313</v>
      </c>
      <c r="C528" s="107" t="s">
        <v>97</v>
      </c>
      <c r="D528" s="73" t="s">
        <v>98</v>
      </c>
      <c r="E528" s="17">
        <f>E529</f>
        <v>84.8</v>
      </c>
      <c r="F528" s="17">
        <f t="shared" si="180"/>
        <v>84.8</v>
      </c>
    </row>
    <row r="529" spans="1:6" ht="12.75">
      <c r="A529" s="105" t="s">
        <v>44</v>
      </c>
      <c r="B529" s="105" t="s">
        <v>313</v>
      </c>
      <c r="C529" s="105">
        <v>610</v>
      </c>
      <c r="D529" s="73" t="s">
        <v>106</v>
      </c>
      <c r="E529" s="17">
        <f>'№ 6'!F369</f>
        <v>84.8</v>
      </c>
      <c r="F529" s="17">
        <f>'№ 6'!G369</f>
        <v>84.8</v>
      </c>
    </row>
    <row r="530" spans="1:6" ht="31.5">
      <c r="A530" s="42" t="s">
        <v>44</v>
      </c>
      <c r="B530" s="42">
        <v>1220500000</v>
      </c>
      <c r="C530" s="42"/>
      <c r="D530" s="63" t="s">
        <v>215</v>
      </c>
      <c r="E530" s="17">
        <f>E531</f>
        <v>1100.3000000000002</v>
      </c>
      <c r="F530" s="17">
        <f aca="true" t="shared" si="181" ref="F530:F532">F531</f>
        <v>1100.3</v>
      </c>
    </row>
    <row r="531" spans="1:6" ht="12.75">
      <c r="A531" s="42" t="s">
        <v>44</v>
      </c>
      <c r="B531" s="42">
        <v>1220520320</v>
      </c>
      <c r="C531" s="42"/>
      <c r="D531" s="63" t="s">
        <v>151</v>
      </c>
      <c r="E531" s="17">
        <f>E532</f>
        <v>1100.3000000000002</v>
      </c>
      <c r="F531" s="17">
        <f t="shared" si="181"/>
        <v>1100.3</v>
      </c>
    </row>
    <row r="532" spans="1:6" ht="31.5">
      <c r="A532" s="42" t="s">
        <v>44</v>
      </c>
      <c r="B532" s="42">
        <v>1220520320</v>
      </c>
      <c r="C532" s="43" t="s">
        <v>97</v>
      </c>
      <c r="D532" s="57" t="s">
        <v>98</v>
      </c>
      <c r="E532" s="17">
        <f>E533</f>
        <v>1100.3000000000002</v>
      </c>
      <c r="F532" s="17">
        <f t="shared" si="181"/>
        <v>1100.3</v>
      </c>
    </row>
    <row r="533" spans="1:6" ht="12.75">
      <c r="A533" s="112" t="s">
        <v>44</v>
      </c>
      <c r="B533" s="112">
        <v>1220520320</v>
      </c>
      <c r="C533" s="112">
        <v>610</v>
      </c>
      <c r="D533" s="57" t="s">
        <v>106</v>
      </c>
      <c r="E533" s="113">
        <f>'№ 6'!F373</f>
        <v>1100.3000000000002</v>
      </c>
      <c r="F533" s="113">
        <f>'№ 6'!G373</f>
        <v>1100.3</v>
      </c>
    </row>
    <row r="534" spans="1:6" ht="63">
      <c r="A534" s="232" t="s">
        <v>44</v>
      </c>
      <c r="B534" s="232">
        <v>1220600000</v>
      </c>
      <c r="C534" s="232"/>
      <c r="D534" s="233" t="s">
        <v>421</v>
      </c>
      <c r="E534" s="113">
        <f>E535</f>
        <v>214.2</v>
      </c>
      <c r="F534" s="113">
        <f aca="true" t="shared" si="182" ref="F534:F536">F535</f>
        <v>214.2</v>
      </c>
    </row>
    <row r="535" spans="1:6" ht="31.5">
      <c r="A535" s="232" t="s">
        <v>44</v>
      </c>
      <c r="B535" s="232">
        <v>1220620020</v>
      </c>
      <c r="C535" s="232"/>
      <c r="D535" s="233" t="s">
        <v>321</v>
      </c>
      <c r="E535" s="113">
        <f>E536</f>
        <v>214.2</v>
      </c>
      <c r="F535" s="113">
        <f t="shared" si="182"/>
        <v>214.2</v>
      </c>
    </row>
    <row r="536" spans="1:6" ht="31.5">
      <c r="A536" s="232" t="s">
        <v>44</v>
      </c>
      <c r="B536" s="232">
        <v>1220620020</v>
      </c>
      <c r="C536" s="234" t="s">
        <v>97</v>
      </c>
      <c r="D536" s="73" t="s">
        <v>98</v>
      </c>
      <c r="E536" s="113">
        <f>E537</f>
        <v>214.2</v>
      </c>
      <c r="F536" s="113">
        <f t="shared" si="182"/>
        <v>214.2</v>
      </c>
    </row>
    <row r="537" spans="1:6" ht="12.75">
      <c r="A537" s="232" t="s">
        <v>44</v>
      </c>
      <c r="B537" s="232">
        <v>1220620020</v>
      </c>
      <c r="C537" s="234">
        <v>610</v>
      </c>
      <c r="D537" s="73" t="s">
        <v>106</v>
      </c>
      <c r="E537" s="113">
        <f>'№ 6'!F377</f>
        <v>214.2</v>
      </c>
      <c r="F537" s="113">
        <f>'№ 6'!G377</f>
        <v>214.2</v>
      </c>
    </row>
    <row r="538" spans="1:6" ht="12.75">
      <c r="A538" s="198" t="s">
        <v>44</v>
      </c>
      <c r="B538" s="198">
        <v>9900000000</v>
      </c>
      <c r="C538" s="198"/>
      <c r="D538" s="73" t="s">
        <v>107</v>
      </c>
      <c r="E538" s="113">
        <f>E539</f>
        <v>80</v>
      </c>
      <c r="F538" s="113">
        <f aca="true" t="shared" si="183" ref="F538:F541">F539</f>
        <v>80</v>
      </c>
    </row>
    <row r="539" spans="1:6" ht="47.25">
      <c r="A539" s="198" t="s">
        <v>44</v>
      </c>
      <c r="B539" s="198">
        <v>9920000000</v>
      </c>
      <c r="C539" s="198"/>
      <c r="D539" s="73" t="s">
        <v>381</v>
      </c>
      <c r="E539" s="113">
        <f>E540</f>
        <v>80</v>
      </c>
      <c r="F539" s="113">
        <f t="shared" si="183"/>
        <v>80</v>
      </c>
    </row>
    <row r="540" spans="1:6" ht="47.25">
      <c r="A540" s="198" t="s">
        <v>44</v>
      </c>
      <c r="B540" s="198">
        <v>9920010920</v>
      </c>
      <c r="C540" s="198"/>
      <c r="D540" s="73" t="s">
        <v>382</v>
      </c>
      <c r="E540" s="113">
        <f>E541</f>
        <v>80</v>
      </c>
      <c r="F540" s="113">
        <f t="shared" si="183"/>
        <v>80</v>
      </c>
    </row>
    <row r="541" spans="1:6" ht="31.5">
      <c r="A541" s="198" t="s">
        <v>44</v>
      </c>
      <c r="B541" s="198">
        <v>9920010920</v>
      </c>
      <c r="C541" s="198" t="s">
        <v>97</v>
      </c>
      <c r="D541" s="73" t="s">
        <v>98</v>
      </c>
      <c r="E541" s="113">
        <f>E542</f>
        <v>80</v>
      </c>
      <c r="F541" s="113">
        <f t="shared" si="183"/>
        <v>80</v>
      </c>
    </row>
    <row r="542" spans="1:6" ht="12.75">
      <c r="A542" s="198" t="s">
        <v>44</v>
      </c>
      <c r="B542" s="198">
        <v>9920010920</v>
      </c>
      <c r="C542" s="198">
        <v>610</v>
      </c>
      <c r="D542" s="73" t="s">
        <v>106</v>
      </c>
      <c r="E542" s="113">
        <f>'№ 6'!F378</f>
        <v>80</v>
      </c>
      <c r="F542" s="113">
        <f>'№ 6'!G378</f>
        <v>80</v>
      </c>
    </row>
    <row r="543" spans="1:6" ht="12.75">
      <c r="A543" s="16" t="s">
        <v>41</v>
      </c>
      <c r="B543" s="16" t="s">
        <v>69</v>
      </c>
      <c r="C543" s="16" t="s">
        <v>69</v>
      </c>
      <c r="D543" s="20" t="s">
        <v>33</v>
      </c>
      <c r="E543" s="82">
        <f>E544+E551+E566</f>
        <v>29965.5</v>
      </c>
      <c r="F543" s="82">
        <f>F544+F551+F566</f>
        <v>27367.9</v>
      </c>
    </row>
    <row r="544" spans="1:6" ht="12.75">
      <c r="A544" s="105">
        <v>1001</v>
      </c>
      <c r="B544" s="16"/>
      <c r="C544" s="16"/>
      <c r="D544" s="63" t="s">
        <v>34</v>
      </c>
      <c r="E544" s="17">
        <f aca="true" t="shared" si="184" ref="E544:E549">E545</f>
        <v>917.5</v>
      </c>
      <c r="F544" s="17">
        <f aca="true" t="shared" si="185" ref="F544">F545</f>
        <v>917.5</v>
      </c>
    </row>
    <row r="545" spans="1:6" ht="47.25">
      <c r="A545" s="105" t="s">
        <v>56</v>
      </c>
      <c r="B545" s="107">
        <v>1200000000</v>
      </c>
      <c r="C545" s="105" t="s">
        <v>69</v>
      </c>
      <c r="D545" s="63" t="s">
        <v>197</v>
      </c>
      <c r="E545" s="17">
        <f t="shared" si="184"/>
        <v>917.5</v>
      </c>
      <c r="F545" s="17">
        <f aca="true" t="shared" si="186" ref="F545:F547">F546</f>
        <v>917.5</v>
      </c>
    </row>
    <row r="546" spans="1:6" ht="31.5">
      <c r="A546" s="105" t="s">
        <v>56</v>
      </c>
      <c r="B546" s="107">
        <v>1240000000</v>
      </c>
      <c r="C546" s="105"/>
      <c r="D546" s="63" t="s">
        <v>140</v>
      </c>
      <c r="E546" s="17">
        <f t="shared" si="184"/>
        <v>917.5</v>
      </c>
      <c r="F546" s="17">
        <f t="shared" si="186"/>
        <v>917.5</v>
      </c>
    </row>
    <row r="547" spans="1:6" ht="12.75">
      <c r="A547" s="42" t="s">
        <v>56</v>
      </c>
      <c r="B547" s="42">
        <v>1240400000</v>
      </c>
      <c r="C547" s="42"/>
      <c r="D547" s="63" t="s">
        <v>216</v>
      </c>
      <c r="E547" s="17">
        <f t="shared" si="184"/>
        <v>917.5</v>
      </c>
      <c r="F547" s="17">
        <f t="shared" si="186"/>
        <v>917.5</v>
      </c>
    </row>
    <row r="548" spans="1:6" ht="57.6" customHeight="1">
      <c r="A548" s="42" t="s">
        <v>56</v>
      </c>
      <c r="B548" s="42">
        <v>1240420390</v>
      </c>
      <c r="C548" s="42"/>
      <c r="D548" s="63" t="s">
        <v>70</v>
      </c>
      <c r="E548" s="17">
        <f t="shared" si="184"/>
        <v>917.5</v>
      </c>
      <c r="F548" s="17">
        <f>F549</f>
        <v>917.5</v>
      </c>
    </row>
    <row r="549" spans="1:6" ht="12.75">
      <c r="A549" s="42" t="s">
        <v>56</v>
      </c>
      <c r="B549" s="42">
        <v>1240420390</v>
      </c>
      <c r="C549" s="107" t="s">
        <v>76</v>
      </c>
      <c r="D549" s="106" t="s">
        <v>77</v>
      </c>
      <c r="E549" s="17">
        <f t="shared" si="184"/>
        <v>917.5</v>
      </c>
      <c r="F549" s="17">
        <f aca="true" t="shared" si="187" ref="F549">F550</f>
        <v>917.5</v>
      </c>
    </row>
    <row r="550" spans="1:6" ht="12.75">
      <c r="A550" s="42" t="s">
        <v>56</v>
      </c>
      <c r="B550" s="42">
        <v>1240420390</v>
      </c>
      <c r="C550" s="107" t="s">
        <v>152</v>
      </c>
      <c r="D550" s="106" t="s">
        <v>153</v>
      </c>
      <c r="E550" s="17">
        <f>'№ 6'!F390</f>
        <v>917.5</v>
      </c>
      <c r="F550" s="17">
        <f>'№ 6'!G390</f>
        <v>917.5</v>
      </c>
    </row>
    <row r="551" spans="1:6" ht="12.75">
      <c r="A551" s="105" t="s">
        <v>42</v>
      </c>
      <c r="B551" s="105" t="s">
        <v>69</v>
      </c>
      <c r="C551" s="105" t="s">
        <v>69</v>
      </c>
      <c r="D551" s="106" t="s">
        <v>36</v>
      </c>
      <c r="E551" s="17">
        <f>E552</f>
        <v>741</v>
      </c>
      <c r="F551" s="17">
        <f aca="true" t="shared" si="188" ref="F551:F552">F552</f>
        <v>736</v>
      </c>
    </row>
    <row r="552" spans="1:6" ht="47.25">
      <c r="A552" s="42" t="s">
        <v>42</v>
      </c>
      <c r="B552" s="43">
        <v>1200000000</v>
      </c>
      <c r="C552" s="42" t="s">
        <v>69</v>
      </c>
      <c r="D552" s="63" t="s">
        <v>197</v>
      </c>
      <c r="E552" s="17">
        <f>E553</f>
        <v>741</v>
      </c>
      <c r="F552" s="17">
        <f t="shared" si="188"/>
        <v>736</v>
      </c>
    </row>
    <row r="553" spans="1:6" ht="31.5">
      <c r="A553" s="42" t="s">
        <v>42</v>
      </c>
      <c r="B553" s="43">
        <v>1240000000</v>
      </c>
      <c r="C553" s="42"/>
      <c r="D553" s="63" t="s">
        <v>140</v>
      </c>
      <c r="E553" s="17">
        <f>E554+E558+E562</f>
        <v>741</v>
      </c>
      <c r="F553" s="17">
        <f>F554+F558+F562</f>
        <v>736</v>
      </c>
    </row>
    <row r="554" spans="1:6" ht="31.5">
      <c r="A554" s="42" t="s">
        <v>42</v>
      </c>
      <c r="B554" s="43">
        <v>1240100000</v>
      </c>
      <c r="C554" s="42"/>
      <c r="D554" s="63" t="s">
        <v>217</v>
      </c>
      <c r="E554" s="17">
        <f>E555</f>
        <v>490</v>
      </c>
      <c r="F554" s="17">
        <f aca="true" t="shared" si="189" ref="F554">F555</f>
        <v>490</v>
      </c>
    </row>
    <row r="555" spans="1:6" ht="31.5">
      <c r="A555" s="42" t="s">
        <v>42</v>
      </c>
      <c r="B555" s="43">
        <v>1240120330</v>
      </c>
      <c r="C555" s="42"/>
      <c r="D555" s="63" t="s">
        <v>155</v>
      </c>
      <c r="E555" s="17">
        <f>E556</f>
        <v>490</v>
      </c>
      <c r="F555" s="17">
        <f aca="true" t="shared" si="190" ref="F555:F556">F556</f>
        <v>490</v>
      </c>
    </row>
    <row r="556" spans="1:6" ht="31.5">
      <c r="A556" s="42" t="s">
        <v>42</v>
      </c>
      <c r="B556" s="43">
        <v>1240120330</v>
      </c>
      <c r="C556" s="43" t="s">
        <v>97</v>
      </c>
      <c r="D556" s="57" t="s">
        <v>98</v>
      </c>
      <c r="E556" s="17">
        <f>E557</f>
        <v>490</v>
      </c>
      <c r="F556" s="17">
        <f t="shared" si="190"/>
        <v>490</v>
      </c>
    </row>
    <row r="557" spans="1:6" ht="31.5">
      <c r="A557" s="42" t="s">
        <v>42</v>
      </c>
      <c r="B557" s="43">
        <v>1240120330</v>
      </c>
      <c r="C557" s="42">
        <v>630</v>
      </c>
      <c r="D557" s="63" t="s">
        <v>156</v>
      </c>
      <c r="E557" s="17">
        <f>'№ 6'!F397</f>
        <v>490</v>
      </c>
      <c r="F557" s="17">
        <f>'№ 6'!G397</f>
        <v>490</v>
      </c>
    </row>
    <row r="558" spans="1:6" ht="31.5">
      <c r="A558" s="42" t="s">
        <v>42</v>
      </c>
      <c r="B558" s="43">
        <v>1240200000</v>
      </c>
      <c r="C558" s="3"/>
      <c r="D558" s="63" t="s">
        <v>157</v>
      </c>
      <c r="E558" s="17">
        <f>E559</f>
        <v>92</v>
      </c>
      <c r="F558" s="17">
        <f aca="true" t="shared" si="191" ref="F558">F559</f>
        <v>92</v>
      </c>
    </row>
    <row r="559" spans="1:6" ht="31.5">
      <c r="A559" s="42" t="s">
        <v>42</v>
      </c>
      <c r="B559" s="43">
        <v>1240220350</v>
      </c>
      <c r="C559" s="42"/>
      <c r="D559" s="63" t="s">
        <v>218</v>
      </c>
      <c r="E559" s="17">
        <f>E560</f>
        <v>92</v>
      </c>
      <c r="F559" s="17">
        <f>F560</f>
        <v>92</v>
      </c>
    </row>
    <row r="560" spans="1:6" ht="12.75">
      <c r="A560" s="42" t="s">
        <v>42</v>
      </c>
      <c r="B560" s="43">
        <v>1240220350</v>
      </c>
      <c r="C560" s="42" t="s">
        <v>76</v>
      </c>
      <c r="D560" s="63" t="s">
        <v>77</v>
      </c>
      <c r="E560" s="17">
        <f>E561</f>
        <v>92</v>
      </c>
      <c r="F560" s="17">
        <f aca="true" t="shared" si="192" ref="F560">F561</f>
        <v>92</v>
      </c>
    </row>
    <row r="561" spans="1:6" ht="12.75">
      <c r="A561" s="42" t="s">
        <v>42</v>
      </c>
      <c r="B561" s="43">
        <v>1240220350</v>
      </c>
      <c r="C561" s="42" t="s">
        <v>152</v>
      </c>
      <c r="D561" s="63" t="s">
        <v>153</v>
      </c>
      <c r="E561" s="17">
        <f>'№ 6'!F401</f>
        <v>92</v>
      </c>
      <c r="F561" s="17">
        <f>'№ 6'!G401</f>
        <v>92</v>
      </c>
    </row>
    <row r="562" spans="1:6" ht="12.75">
      <c r="A562" s="42" t="s">
        <v>42</v>
      </c>
      <c r="B562" s="42">
        <v>1240400000</v>
      </c>
      <c r="C562" s="3"/>
      <c r="D562" s="63" t="s">
        <v>216</v>
      </c>
      <c r="E562" s="17">
        <f>E563</f>
        <v>159</v>
      </c>
      <c r="F562" s="17">
        <f aca="true" t="shared" si="193" ref="F562">F563</f>
        <v>154</v>
      </c>
    </row>
    <row r="563" spans="1:6" ht="31.5">
      <c r="A563" s="42" t="s">
        <v>42</v>
      </c>
      <c r="B563" s="42">
        <v>1240420380</v>
      </c>
      <c r="C563" s="42"/>
      <c r="D563" s="63" t="s">
        <v>154</v>
      </c>
      <c r="E563" s="17">
        <f>E564</f>
        <v>159</v>
      </c>
      <c r="F563" s="17">
        <f aca="true" t="shared" si="194" ref="F563:F564">F564</f>
        <v>154</v>
      </c>
    </row>
    <row r="564" spans="1:6" ht="12.75">
      <c r="A564" s="42" t="s">
        <v>42</v>
      </c>
      <c r="B564" s="42">
        <v>1240420380</v>
      </c>
      <c r="C564" s="43" t="s">
        <v>76</v>
      </c>
      <c r="D564" s="57" t="s">
        <v>77</v>
      </c>
      <c r="E564" s="17">
        <f>E565</f>
        <v>159</v>
      </c>
      <c r="F564" s="17">
        <f t="shared" si="194"/>
        <v>154</v>
      </c>
    </row>
    <row r="565" spans="1:6" ht="31.5">
      <c r="A565" s="42" t="s">
        <v>42</v>
      </c>
      <c r="B565" s="42">
        <v>1240420380</v>
      </c>
      <c r="C565" s="43" t="s">
        <v>103</v>
      </c>
      <c r="D565" s="57" t="s">
        <v>104</v>
      </c>
      <c r="E565" s="17">
        <f>'№ 6'!F405</f>
        <v>159</v>
      </c>
      <c r="F565" s="17">
        <f>'№ 6'!G405</f>
        <v>154</v>
      </c>
    </row>
    <row r="566" spans="1:6" ht="12.75">
      <c r="A566" s="42">
        <v>1004</v>
      </c>
      <c r="B566" s="116"/>
      <c r="C566" s="116"/>
      <c r="D566" s="63" t="s">
        <v>88</v>
      </c>
      <c r="E566" s="114">
        <f>E567+E581+E575</f>
        <v>28307</v>
      </c>
      <c r="F566" s="114">
        <f aca="true" t="shared" si="195" ref="F566">F567+F581+F575</f>
        <v>25714.4</v>
      </c>
    </row>
    <row r="567" spans="1:6" ht="47.25">
      <c r="A567" s="105" t="s">
        <v>87</v>
      </c>
      <c r="B567" s="107">
        <v>1100000000</v>
      </c>
      <c r="C567" s="105"/>
      <c r="D567" s="106" t="s">
        <v>202</v>
      </c>
      <c r="E567" s="115">
        <f>E568</f>
        <v>9588.3</v>
      </c>
      <c r="F567" s="92">
        <f aca="true" t="shared" si="196" ref="F567">F568</f>
        <v>7300</v>
      </c>
    </row>
    <row r="568" spans="1:6" ht="12.75">
      <c r="A568" s="105" t="s">
        <v>87</v>
      </c>
      <c r="B568" s="105">
        <v>1110000000</v>
      </c>
      <c r="C568" s="105"/>
      <c r="D568" s="106" t="s">
        <v>183</v>
      </c>
      <c r="E568" s="17">
        <f>E569</f>
        <v>9588.3</v>
      </c>
      <c r="F568" s="17">
        <f aca="true" t="shared" si="197" ref="F568:F569">F569</f>
        <v>7300</v>
      </c>
    </row>
    <row r="569" spans="1:6" ht="47.25">
      <c r="A569" s="105" t="s">
        <v>87</v>
      </c>
      <c r="B569" s="105">
        <v>1110200000</v>
      </c>
      <c r="C569" s="105"/>
      <c r="D569" s="106" t="s">
        <v>196</v>
      </c>
      <c r="E569" s="17">
        <f>E570</f>
        <v>9588.3</v>
      </c>
      <c r="F569" s="17">
        <f t="shared" si="197"/>
        <v>7300</v>
      </c>
    </row>
    <row r="570" spans="1:6" ht="78.75">
      <c r="A570" s="105" t="s">
        <v>87</v>
      </c>
      <c r="B570" s="105">
        <v>1110210500</v>
      </c>
      <c r="C570" s="105"/>
      <c r="D570" s="106" t="s">
        <v>249</v>
      </c>
      <c r="E570" s="17">
        <f>E571+E573</f>
        <v>9588.3</v>
      </c>
      <c r="F570" s="17">
        <f aca="true" t="shared" si="198" ref="F570">F571+F573</f>
        <v>7300</v>
      </c>
    </row>
    <row r="571" spans="1:6" ht="31.5">
      <c r="A571" s="105" t="s">
        <v>87</v>
      </c>
      <c r="B571" s="105">
        <v>1110210500</v>
      </c>
      <c r="C571" s="105" t="s">
        <v>72</v>
      </c>
      <c r="D571" s="106" t="s">
        <v>95</v>
      </c>
      <c r="E571" s="17">
        <f>E572</f>
        <v>233.9</v>
      </c>
      <c r="F571" s="17">
        <f aca="true" t="shared" si="199" ref="F571">F572</f>
        <v>170.6</v>
      </c>
    </row>
    <row r="572" spans="1:6" ht="31.5">
      <c r="A572" s="105" t="s">
        <v>87</v>
      </c>
      <c r="B572" s="105">
        <v>1110210500</v>
      </c>
      <c r="C572" s="105">
        <v>240</v>
      </c>
      <c r="D572" s="106" t="s">
        <v>257</v>
      </c>
      <c r="E572" s="17">
        <f>'№ 6'!F714</f>
        <v>233.9</v>
      </c>
      <c r="F572" s="17">
        <f>'№ 6'!G714</f>
        <v>170.6</v>
      </c>
    </row>
    <row r="573" spans="1:6" ht="12.75">
      <c r="A573" s="105" t="s">
        <v>87</v>
      </c>
      <c r="B573" s="105">
        <v>1110210500</v>
      </c>
      <c r="C573" s="105" t="s">
        <v>76</v>
      </c>
      <c r="D573" s="106" t="s">
        <v>77</v>
      </c>
      <c r="E573" s="17">
        <f>E574</f>
        <v>9354.4</v>
      </c>
      <c r="F573" s="17">
        <f aca="true" t="shared" si="200" ref="F573">F574</f>
        <v>7129.4</v>
      </c>
    </row>
    <row r="574" spans="1:6" ht="31.5">
      <c r="A574" s="105" t="s">
        <v>87</v>
      </c>
      <c r="B574" s="105">
        <v>1110210500</v>
      </c>
      <c r="C574" s="1" t="s">
        <v>103</v>
      </c>
      <c r="D574" s="60" t="s">
        <v>104</v>
      </c>
      <c r="E574" s="17">
        <f>'№ 6'!F716</f>
        <v>9354.4</v>
      </c>
      <c r="F574" s="17">
        <f>'№ 6'!G716</f>
        <v>7129.4</v>
      </c>
    </row>
    <row r="575" spans="1:6" ht="47.25">
      <c r="A575" s="120">
        <v>1004</v>
      </c>
      <c r="B575" s="122">
        <v>1200000000</v>
      </c>
      <c r="C575" s="120"/>
      <c r="D575" s="121" t="s">
        <v>197</v>
      </c>
      <c r="E575" s="17">
        <f>E576</f>
        <v>9909.7</v>
      </c>
      <c r="F575" s="17">
        <f aca="true" t="shared" si="201" ref="F575:F579">F576</f>
        <v>9605.6</v>
      </c>
    </row>
    <row r="576" spans="1:6" ht="31.5">
      <c r="A576" s="120">
        <v>1004</v>
      </c>
      <c r="B576" s="122">
        <v>1240000000</v>
      </c>
      <c r="C576" s="120"/>
      <c r="D576" s="121" t="s">
        <v>140</v>
      </c>
      <c r="E576" s="17">
        <f>E577</f>
        <v>9909.7</v>
      </c>
      <c r="F576" s="17">
        <f t="shared" si="201"/>
        <v>9605.6</v>
      </c>
    </row>
    <row r="577" spans="1:6" ht="12.75">
      <c r="A577" s="120">
        <v>1004</v>
      </c>
      <c r="B577" s="120">
        <v>1240400000</v>
      </c>
      <c r="C577" s="120"/>
      <c r="D577" s="121" t="s">
        <v>216</v>
      </c>
      <c r="E577" s="17">
        <f>E578</f>
        <v>9909.7</v>
      </c>
      <c r="F577" s="17">
        <f t="shared" si="201"/>
        <v>9605.6</v>
      </c>
    </row>
    <row r="578" spans="1:6" ht="12.75">
      <c r="A578" s="120" t="s">
        <v>87</v>
      </c>
      <c r="B578" s="120" t="s">
        <v>256</v>
      </c>
      <c r="C578" s="120"/>
      <c r="D578" s="121" t="s">
        <v>255</v>
      </c>
      <c r="E578" s="17">
        <f>E579</f>
        <v>9909.7</v>
      </c>
      <c r="F578" s="17">
        <f t="shared" si="201"/>
        <v>9605.6</v>
      </c>
    </row>
    <row r="579" spans="1:6" ht="12.75">
      <c r="A579" s="120">
        <v>1004</v>
      </c>
      <c r="B579" s="120" t="s">
        <v>256</v>
      </c>
      <c r="C579" s="1" t="s">
        <v>76</v>
      </c>
      <c r="D579" s="60" t="s">
        <v>77</v>
      </c>
      <c r="E579" s="17">
        <f>E580</f>
        <v>9909.7</v>
      </c>
      <c r="F579" s="17">
        <f t="shared" si="201"/>
        <v>9605.6</v>
      </c>
    </row>
    <row r="580" spans="1:6" ht="31.5">
      <c r="A580" s="120">
        <v>1004</v>
      </c>
      <c r="B580" s="120" t="s">
        <v>256</v>
      </c>
      <c r="C580" s="1" t="s">
        <v>103</v>
      </c>
      <c r="D580" s="60" t="s">
        <v>104</v>
      </c>
      <c r="E580" s="17">
        <f>'№ 6'!F412</f>
        <v>9909.7</v>
      </c>
      <c r="F580" s="17">
        <f>'№ 6'!G412</f>
        <v>9605.6</v>
      </c>
    </row>
    <row r="581" spans="1:6" ht="47.25">
      <c r="A581" s="107" t="s">
        <v>87</v>
      </c>
      <c r="B581" s="107">
        <v>1600000000</v>
      </c>
      <c r="C581" s="107"/>
      <c r="D581" s="106" t="s">
        <v>116</v>
      </c>
      <c r="E581" s="17">
        <f>E582</f>
        <v>8809</v>
      </c>
      <c r="F581" s="17">
        <f aca="true" t="shared" si="202" ref="F581:F582">F582</f>
        <v>8808.8</v>
      </c>
    </row>
    <row r="582" spans="1:6" ht="31.5">
      <c r="A582" s="107" t="s">
        <v>87</v>
      </c>
      <c r="B582" s="107">
        <v>1620000000</v>
      </c>
      <c r="C582" s="107"/>
      <c r="D582" s="106" t="s">
        <v>109</v>
      </c>
      <c r="E582" s="17">
        <f>E583</f>
        <v>8809</v>
      </c>
      <c r="F582" s="17">
        <f t="shared" si="202"/>
        <v>8808.8</v>
      </c>
    </row>
    <row r="583" spans="1:6" ht="12.75">
      <c r="A583" s="107" t="s">
        <v>87</v>
      </c>
      <c r="B583" s="107">
        <v>1620200000</v>
      </c>
      <c r="C583" s="107"/>
      <c r="D583" s="106" t="s">
        <v>114</v>
      </c>
      <c r="E583" s="17">
        <f>E584+E587</f>
        <v>8809</v>
      </c>
      <c r="F583" s="17">
        <f aca="true" t="shared" si="203" ref="F583">F584+F587</f>
        <v>8808.8</v>
      </c>
    </row>
    <row r="584" spans="1:6" ht="63">
      <c r="A584" s="107" t="s">
        <v>87</v>
      </c>
      <c r="B584" s="107">
        <v>1620210820</v>
      </c>
      <c r="C584" s="107"/>
      <c r="D584" s="106" t="s">
        <v>252</v>
      </c>
      <c r="E584" s="17">
        <f>E585</f>
        <v>6851.4</v>
      </c>
      <c r="F584" s="17">
        <f aca="true" t="shared" si="204" ref="F584:F585">F585</f>
        <v>6851.3</v>
      </c>
    </row>
    <row r="585" spans="1:6" ht="31.5">
      <c r="A585" s="107" t="s">
        <v>87</v>
      </c>
      <c r="B585" s="107">
        <v>1620210820</v>
      </c>
      <c r="C585" s="107" t="s">
        <v>75</v>
      </c>
      <c r="D585" s="106" t="s">
        <v>96</v>
      </c>
      <c r="E585" s="17">
        <f>E586</f>
        <v>6851.4</v>
      </c>
      <c r="F585" s="17">
        <f t="shared" si="204"/>
        <v>6851.3</v>
      </c>
    </row>
    <row r="586" spans="1:6" ht="12.75">
      <c r="A586" s="107" t="s">
        <v>87</v>
      </c>
      <c r="B586" s="107">
        <v>1620210820</v>
      </c>
      <c r="C586" s="107" t="s">
        <v>122</v>
      </c>
      <c r="D586" s="106" t="s">
        <v>123</v>
      </c>
      <c r="E586" s="17">
        <f>'№ 6'!F556</f>
        <v>6851.4</v>
      </c>
      <c r="F586" s="17">
        <f>'№ 6'!G556</f>
        <v>6851.3</v>
      </c>
    </row>
    <row r="587" spans="1:6" ht="47.25">
      <c r="A587" s="107" t="s">
        <v>87</v>
      </c>
      <c r="B587" s="107" t="s">
        <v>278</v>
      </c>
      <c r="C587" s="107"/>
      <c r="D587" s="73" t="s">
        <v>279</v>
      </c>
      <c r="E587" s="17">
        <f>E588</f>
        <v>1957.6</v>
      </c>
      <c r="F587" s="17">
        <f aca="true" t="shared" si="205" ref="F587:F588">F588</f>
        <v>1957.5</v>
      </c>
    </row>
    <row r="588" spans="1:6" ht="31.5">
      <c r="A588" s="107" t="s">
        <v>87</v>
      </c>
      <c r="B588" s="107" t="s">
        <v>278</v>
      </c>
      <c r="C588" s="107" t="s">
        <v>75</v>
      </c>
      <c r="D588" s="73" t="s">
        <v>96</v>
      </c>
      <c r="E588" s="17">
        <f>E589</f>
        <v>1957.6</v>
      </c>
      <c r="F588" s="17">
        <f t="shared" si="205"/>
        <v>1957.5</v>
      </c>
    </row>
    <row r="589" spans="1:6" ht="12.75">
      <c r="A589" s="107" t="s">
        <v>87</v>
      </c>
      <c r="B589" s="107" t="s">
        <v>278</v>
      </c>
      <c r="C589" s="107" t="s">
        <v>122</v>
      </c>
      <c r="D589" s="73" t="s">
        <v>123</v>
      </c>
      <c r="E589" s="17">
        <f>'№ 6'!F559</f>
        <v>1957.6</v>
      </c>
      <c r="F589" s="17">
        <f>'№ 6'!G559</f>
        <v>1957.5</v>
      </c>
    </row>
    <row r="590" spans="1:6" ht="12.75">
      <c r="A590" s="4" t="s">
        <v>64</v>
      </c>
      <c r="B590" s="4" t="s">
        <v>69</v>
      </c>
      <c r="C590" s="4" t="s">
        <v>69</v>
      </c>
      <c r="D590" s="20" t="s">
        <v>32</v>
      </c>
      <c r="E590" s="6">
        <f>E591+E627</f>
        <v>31480.6</v>
      </c>
      <c r="F590" s="6">
        <f>F591+F627</f>
        <v>31466.5</v>
      </c>
    </row>
    <row r="591" spans="1:6" ht="12.75">
      <c r="A591" s="105" t="s">
        <v>89</v>
      </c>
      <c r="B591" s="105" t="s">
        <v>69</v>
      </c>
      <c r="C591" s="105" t="s">
        <v>69</v>
      </c>
      <c r="D591" s="106" t="s">
        <v>65</v>
      </c>
      <c r="E591" s="17">
        <f>E592</f>
        <v>15091.900000000001</v>
      </c>
      <c r="F591" s="17">
        <f aca="true" t="shared" si="206" ref="F591:F592">F592</f>
        <v>15077.8</v>
      </c>
    </row>
    <row r="592" spans="1:6" ht="47.25">
      <c r="A592" s="105" t="s">
        <v>89</v>
      </c>
      <c r="B592" s="107">
        <v>1200000000</v>
      </c>
      <c r="C592" s="105"/>
      <c r="D592" s="106" t="s">
        <v>197</v>
      </c>
      <c r="E592" s="17">
        <f>E593</f>
        <v>15091.900000000001</v>
      </c>
      <c r="F592" s="17">
        <f t="shared" si="206"/>
        <v>15077.8</v>
      </c>
    </row>
    <row r="593" spans="1:6" ht="12.75">
      <c r="A593" s="105" t="s">
        <v>89</v>
      </c>
      <c r="B593" s="105">
        <v>1230000000</v>
      </c>
      <c r="C593" s="105"/>
      <c r="D593" s="106" t="s">
        <v>220</v>
      </c>
      <c r="E593" s="17">
        <f>E594+E598+E602+E617</f>
        <v>15091.900000000001</v>
      </c>
      <c r="F593" s="17">
        <f aca="true" t="shared" si="207" ref="F593">F594+F598+F602+F617</f>
        <v>15077.8</v>
      </c>
    </row>
    <row r="594" spans="1:6" ht="31.5">
      <c r="A594" s="105" t="s">
        <v>89</v>
      </c>
      <c r="B594" s="105">
        <v>1230100000</v>
      </c>
      <c r="C594" s="105"/>
      <c r="D594" s="106" t="s">
        <v>221</v>
      </c>
      <c r="E594" s="17">
        <f>E595</f>
        <v>10855.000000000002</v>
      </c>
      <c r="F594" s="17">
        <f aca="true" t="shared" si="208" ref="F594:F596">F595</f>
        <v>10855</v>
      </c>
    </row>
    <row r="595" spans="1:6" ht="31.5">
      <c r="A595" s="2" t="s">
        <v>89</v>
      </c>
      <c r="B595" s="105">
        <v>1230120010</v>
      </c>
      <c r="C595" s="105"/>
      <c r="D595" s="106" t="s">
        <v>126</v>
      </c>
      <c r="E595" s="17">
        <f>E596</f>
        <v>10855.000000000002</v>
      </c>
      <c r="F595" s="17">
        <f t="shared" si="208"/>
        <v>10855</v>
      </c>
    </row>
    <row r="596" spans="1:6" ht="31.5">
      <c r="A596" s="2" t="s">
        <v>89</v>
      </c>
      <c r="B596" s="105">
        <v>1230120010</v>
      </c>
      <c r="C596" s="107" t="s">
        <v>97</v>
      </c>
      <c r="D596" s="106" t="s">
        <v>98</v>
      </c>
      <c r="E596" s="17">
        <f>E597</f>
        <v>10855.000000000002</v>
      </c>
      <c r="F596" s="17">
        <f t="shared" si="208"/>
        <v>10855</v>
      </c>
    </row>
    <row r="597" spans="1:6" ht="12.75">
      <c r="A597" s="105" t="s">
        <v>89</v>
      </c>
      <c r="B597" s="105">
        <v>1230120010</v>
      </c>
      <c r="C597" s="105">
        <v>610</v>
      </c>
      <c r="D597" s="106" t="s">
        <v>106</v>
      </c>
      <c r="E597" s="17">
        <f>'№ 6'!F420</f>
        <v>10855.000000000002</v>
      </c>
      <c r="F597" s="17">
        <f>'№ 6'!G420</f>
        <v>10855</v>
      </c>
    </row>
    <row r="598" spans="1:6" ht="63">
      <c r="A598" s="105" t="s">
        <v>89</v>
      </c>
      <c r="B598" s="105">
        <v>1230200000</v>
      </c>
      <c r="C598" s="105"/>
      <c r="D598" s="106" t="s">
        <v>222</v>
      </c>
      <c r="E598" s="17">
        <f>E599</f>
        <v>186.70000000000002</v>
      </c>
      <c r="F598" s="17">
        <f aca="true" t="shared" si="209" ref="F598:F600">F599</f>
        <v>186.7</v>
      </c>
    </row>
    <row r="599" spans="1:6" ht="12.75">
      <c r="A599" s="105" t="s">
        <v>89</v>
      </c>
      <c r="B599" s="105">
        <v>1230220040</v>
      </c>
      <c r="C599" s="105"/>
      <c r="D599" s="106" t="s">
        <v>223</v>
      </c>
      <c r="E599" s="17">
        <f>E600</f>
        <v>186.70000000000002</v>
      </c>
      <c r="F599" s="17">
        <f t="shared" si="209"/>
        <v>186.7</v>
      </c>
    </row>
    <row r="600" spans="1:6" ht="31.5">
      <c r="A600" s="105" t="s">
        <v>89</v>
      </c>
      <c r="B600" s="105">
        <v>1230220040</v>
      </c>
      <c r="C600" s="107" t="s">
        <v>97</v>
      </c>
      <c r="D600" s="106" t="s">
        <v>98</v>
      </c>
      <c r="E600" s="17">
        <f>E601</f>
        <v>186.70000000000002</v>
      </c>
      <c r="F600" s="17">
        <f t="shared" si="209"/>
        <v>186.7</v>
      </c>
    </row>
    <row r="601" spans="1:6" ht="12.75">
      <c r="A601" s="105" t="s">
        <v>89</v>
      </c>
      <c r="B601" s="105">
        <v>1230220040</v>
      </c>
      <c r="C601" s="105">
        <v>610</v>
      </c>
      <c r="D601" s="106" t="s">
        <v>106</v>
      </c>
      <c r="E601" s="17">
        <f>'№ 6'!F424</f>
        <v>186.70000000000002</v>
      </c>
      <c r="F601" s="17">
        <f>'№ 6'!G424</f>
        <v>186.7</v>
      </c>
    </row>
    <row r="602" spans="1:6" ht="31.5">
      <c r="A602" s="105" t="s">
        <v>89</v>
      </c>
      <c r="B602" s="105">
        <v>1230600000</v>
      </c>
      <c r="C602" s="105"/>
      <c r="D602" s="106" t="s">
        <v>224</v>
      </c>
      <c r="E602" s="17">
        <f>E603+E610</f>
        <v>808.5</v>
      </c>
      <c r="F602" s="17">
        <f aca="true" t="shared" si="210" ref="F602">F603+F610</f>
        <v>794.4</v>
      </c>
    </row>
    <row r="603" spans="1:6" ht="31.5">
      <c r="A603" s="105" t="s">
        <v>89</v>
      </c>
      <c r="B603" s="105">
        <v>1230620300</v>
      </c>
      <c r="C603" s="105"/>
      <c r="D603" s="106" t="s">
        <v>225</v>
      </c>
      <c r="E603" s="17">
        <f>E604+E606+E608</f>
        <v>369.99999999999994</v>
      </c>
      <c r="F603" s="17">
        <f aca="true" t="shared" si="211" ref="F603">F604+F606+F608</f>
        <v>363.8</v>
      </c>
    </row>
    <row r="604" spans="1:6" ht="63">
      <c r="A604" s="105" t="s">
        <v>89</v>
      </c>
      <c r="B604" s="105">
        <v>1230620300</v>
      </c>
      <c r="C604" s="107" t="s">
        <v>71</v>
      </c>
      <c r="D604" s="106" t="s">
        <v>1</v>
      </c>
      <c r="E604" s="17">
        <f>E605</f>
        <v>149.7</v>
      </c>
      <c r="F604" s="17">
        <f aca="true" t="shared" si="212" ref="F604">F605</f>
        <v>148</v>
      </c>
    </row>
    <row r="605" spans="1:6" ht="31.5">
      <c r="A605" s="105" t="s">
        <v>89</v>
      </c>
      <c r="B605" s="105">
        <v>1230620300</v>
      </c>
      <c r="C605" s="105">
        <v>120</v>
      </c>
      <c r="D605" s="106" t="s">
        <v>258</v>
      </c>
      <c r="E605" s="17">
        <f>'№ 6'!F428</f>
        <v>149.7</v>
      </c>
      <c r="F605" s="17">
        <f>'№ 6'!G428</f>
        <v>148</v>
      </c>
    </row>
    <row r="606" spans="1:6" ht="31.5">
      <c r="A606" s="105" t="s">
        <v>89</v>
      </c>
      <c r="B606" s="105">
        <v>1230620300</v>
      </c>
      <c r="C606" s="107" t="s">
        <v>72</v>
      </c>
      <c r="D606" s="106" t="s">
        <v>95</v>
      </c>
      <c r="E606" s="17">
        <f>E607</f>
        <v>126.1</v>
      </c>
      <c r="F606" s="17">
        <f aca="true" t="shared" si="213" ref="F606">F607</f>
        <v>126.1</v>
      </c>
    </row>
    <row r="607" spans="1:6" ht="31.5">
      <c r="A607" s="105" t="s">
        <v>89</v>
      </c>
      <c r="B607" s="105">
        <v>1230620300</v>
      </c>
      <c r="C607" s="105">
        <v>240</v>
      </c>
      <c r="D607" s="106" t="s">
        <v>257</v>
      </c>
      <c r="E607" s="17">
        <f>'№ 6'!F430</f>
        <v>126.1</v>
      </c>
      <c r="F607" s="17">
        <f>'№ 6'!G430</f>
        <v>126.1</v>
      </c>
    </row>
    <row r="608" spans="1:6" ht="12.75">
      <c r="A608" s="105" t="s">
        <v>89</v>
      </c>
      <c r="B608" s="105">
        <v>1230620300</v>
      </c>
      <c r="C608" s="105" t="s">
        <v>73</v>
      </c>
      <c r="D608" s="106" t="s">
        <v>74</v>
      </c>
      <c r="E608" s="17">
        <f>E609</f>
        <v>94.2</v>
      </c>
      <c r="F608" s="17">
        <f aca="true" t="shared" si="214" ref="F608">F609</f>
        <v>89.7</v>
      </c>
    </row>
    <row r="609" spans="1:6" ht="12.75">
      <c r="A609" s="105" t="s">
        <v>89</v>
      </c>
      <c r="B609" s="105">
        <v>1230620300</v>
      </c>
      <c r="C609" s="105">
        <v>850</v>
      </c>
      <c r="D609" s="106" t="s">
        <v>102</v>
      </c>
      <c r="E609" s="17">
        <f>'№ 6'!F432</f>
        <v>94.2</v>
      </c>
      <c r="F609" s="17">
        <f>'№ 6'!G432</f>
        <v>89.7</v>
      </c>
    </row>
    <row r="610" spans="1:6" ht="12.75">
      <c r="A610" s="105" t="s">
        <v>89</v>
      </c>
      <c r="B610" s="105">
        <v>1230620320</v>
      </c>
      <c r="C610" s="105"/>
      <c r="D610" s="106" t="s">
        <v>151</v>
      </c>
      <c r="E610" s="17">
        <f>E611+E613+E615</f>
        <v>438.5</v>
      </c>
      <c r="F610" s="17">
        <f aca="true" t="shared" si="215" ref="F610">F611+F613+F615</f>
        <v>430.59999999999997</v>
      </c>
    </row>
    <row r="611" spans="1:6" ht="63">
      <c r="A611" s="105" t="s">
        <v>89</v>
      </c>
      <c r="B611" s="105">
        <v>1230620320</v>
      </c>
      <c r="C611" s="107" t="s">
        <v>71</v>
      </c>
      <c r="D611" s="106" t="s">
        <v>1</v>
      </c>
      <c r="E611" s="17">
        <f>E612</f>
        <v>260.5</v>
      </c>
      <c r="F611" s="17">
        <f aca="true" t="shared" si="216" ref="F611">F612</f>
        <v>252.7</v>
      </c>
    </row>
    <row r="612" spans="1:6" ht="31.5">
      <c r="A612" s="105" t="s">
        <v>89</v>
      </c>
      <c r="B612" s="105">
        <v>1230620320</v>
      </c>
      <c r="C612" s="105">
        <v>120</v>
      </c>
      <c r="D612" s="106" t="s">
        <v>258</v>
      </c>
      <c r="E612" s="17">
        <f>'№ 6'!F435</f>
        <v>260.5</v>
      </c>
      <c r="F612" s="17">
        <f>'№ 6'!G435</f>
        <v>252.7</v>
      </c>
    </row>
    <row r="613" spans="1:6" ht="31.5">
      <c r="A613" s="105" t="s">
        <v>89</v>
      </c>
      <c r="B613" s="105">
        <v>1230620320</v>
      </c>
      <c r="C613" s="107" t="s">
        <v>72</v>
      </c>
      <c r="D613" s="106" t="s">
        <v>95</v>
      </c>
      <c r="E613" s="17">
        <f>E614</f>
        <v>117.1</v>
      </c>
      <c r="F613" s="17">
        <f aca="true" t="shared" si="217" ref="F613">F614</f>
        <v>117</v>
      </c>
    </row>
    <row r="614" spans="1:6" ht="31.5">
      <c r="A614" s="105" t="s">
        <v>89</v>
      </c>
      <c r="B614" s="105">
        <v>1230620320</v>
      </c>
      <c r="C614" s="105">
        <v>240</v>
      </c>
      <c r="D614" s="138" t="s">
        <v>257</v>
      </c>
      <c r="E614" s="17">
        <f>'№ 6'!F437</f>
        <v>117.1</v>
      </c>
      <c r="F614" s="17">
        <f>'№ 6'!G437</f>
        <v>117</v>
      </c>
    </row>
    <row r="615" spans="1:6" ht="31.5">
      <c r="A615" s="105" t="s">
        <v>89</v>
      </c>
      <c r="B615" s="105">
        <v>1230620320</v>
      </c>
      <c r="C615" s="107" t="s">
        <v>97</v>
      </c>
      <c r="D615" s="138" t="s">
        <v>98</v>
      </c>
      <c r="E615" s="17">
        <f>E616</f>
        <v>60.900000000000006</v>
      </c>
      <c r="F615" s="17">
        <f aca="true" t="shared" si="218" ref="F615">F616</f>
        <v>60.9</v>
      </c>
    </row>
    <row r="616" spans="1:6" ht="12.75">
      <c r="A616" s="105" t="s">
        <v>89</v>
      </c>
      <c r="B616" s="105">
        <v>1230620320</v>
      </c>
      <c r="C616" s="105">
        <v>610</v>
      </c>
      <c r="D616" s="138" t="s">
        <v>106</v>
      </c>
      <c r="E616" s="17">
        <f>'№ 6'!F439</f>
        <v>60.900000000000006</v>
      </c>
      <c r="F616" s="17">
        <f>'№ 6'!G439</f>
        <v>60.9</v>
      </c>
    </row>
    <row r="617" spans="1:6" ht="31.5">
      <c r="A617" s="149" t="s">
        <v>89</v>
      </c>
      <c r="B617" s="149" t="s">
        <v>347</v>
      </c>
      <c r="C617" s="149"/>
      <c r="D617" s="146" t="s">
        <v>344</v>
      </c>
      <c r="E617" s="17">
        <f>E624+E621+E618</f>
        <v>3241.7</v>
      </c>
      <c r="F617" s="17">
        <f aca="true" t="shared" si="219" ref="F617">F624+F621+F618</f>
        <v>3241.7</v>
      </c>
    </row>
    <row r="618" spans="1:6" ht="47.25">
      <c r="A618" s="217" t="s">
        <v>89</v>
      </c>
      <c r="B618" s="217" t="s">
        <v>419</v>
      </c>
      <c r="C618" s="217"/>
      <c r="D618" s="73" t="s">
        <v>420</v>
      </c>
      <c r="E618" s="17">
        <f>E619</f>
        <v>1891.7</v>
      </c>
      <c r="F618" s="17">
        <f aca="true" t="shared" si="220" ref="F618:F619">F619</f>
        <v>1891.7</v>
      </c>
    </row>
    <row r="619" spans="1:6" ht="31.5">
      <c r="A619" s="217" t="s">
        <v>89</v>
      </c>
      <c r="B619" s="217" t="s">
        <v>419</v>
      </c>
      <c r="C619" s="218" t="s">
        <v>72</v>
      </c>
      <c r="D619" s="73" t="s">
        <v>95</v>
      </c>
      <c r="E619" s="17">
        <f>E620</f>
        <v>1891.7</v>
      </c>
      <c r="F619" s="17">
        <f t="shared" si="220"/>
        <v>1891.7</v>
      </c>
    </row>
    <row r="620" spans="1:6" ht="31.5">
      <c r="A620" s="217" t="s">
        <v>89</v>
      </c>
      <c r="B620" s="217" t="s">
        <v>419</v>
      </c>
      <c r="C620" s="217">
        <v>240</v>
      </c>
      <c r="D620" s="73" t="s">
        <v>257</v>
      </c>
      <c r="E620" s="17">
        <f>'№ 6'!F443</f>
        <v>1891.7</v>
      </c>
      <c r="F620" s="17">
        <f>'№ 6'!G443</f>
        <v>1891.7</v>
      </c>
    </row>
    <row r="621" spans="1:6" ht="31.5">
      <c r="A621" s="151" t="s">
        <v>89</v>
      </c>
      <c r="B621" s="151" t="s">
        <v>350</v>
      </c>
      <c r="C621" s="151"/>
      <c r="D621" s="146" t="s">
        <v>349</v>
      </c>
      <c r="E621" s="17">
        <f>E622</f>
        <v>719.4000000000001</v>
      </c>
      <c r="F621" s="17">
        <f aca="true" t="shared" si="221" ref="F621:F622">F622</f>
        <v>719.4</v>
      </c>
    </row>
    <row r="622" spans="1:6" ht="31.5">
      <c r="A622" s="151" t="s">
        <v>89</v>
      </c>
      <c r="B622" s="151" t="s">
        <v>350</v>
      </c>
      <c r="C622" s="153" t="s">
        <v>72</v>
      </c>
      <c r="D622" s="73" t="s">
        <v>95</v>
      </c>
      <c r="E622" s="17">
        <f>E623</f>
        <v>719.4000000000001</v>
      </c>
      <c r="F622" s="17">
        <f t="shared" si="221"/>
        <v>719.4</v>
      </c>
    </row>
    <row r="623" spans="1:6" ht="31.5">
      <c r="A623" s="151" t="s">
        <v>89</v>
      </c>
      <c r="B623" s="151" t="s">
        <v>350</v>
      </c>
      <c r="C623" s="151">
        <v>240</v>
      </c>
      <c r="D623" s="73" t="s">
        <v>257</v>
      </c>
      <c r="E623" s="17">
        <f>'№ 6'!F446</f>
        <v>719.4000000000001</v>
      </c>
      <c r="F623" s="17">
        <f>'№ 6'!G446</f>
        <v>719.4</v>
      </c>
    </row>
    <row r="624" spans="1:6" ht="47.25">
      <c r="A624" s="149" t="s">
        <v>89</v>
      </c>
      <c r="B624" s="149" t="s">
        <v>348</v>
      </c>
      <c r="C624" s="149"/>
      <c r="D624" s="73" t="s">
        <v>333</v>
      </c>
      <c r="E624" s="17">
        <f>E625</f>
        <v>630.6</v>
      </c>
      <c r="F624" s="17">
        <f aca="true" t="shared" si="222" ref="F624:F625">F625</f>
        <v>630.6</v>
      </c>
    </row>
    <row r="625" spans="1:6" ht="31.5">
      <c r="A625" s="149" t="s">
        <v>89</v>
      </c>
      <c r="B625" s="149" t="s">
        <v>348</v>
      </c>
      <c r="C625" s="150" t="s">
        <v>72</v>
      </c>
      <c r="D625" s="73" t="s">
        <v>95</v>
      </c>
      <c r="E625" s="17">
        <f>E626</f>
        <v>630.6</v>
      </c>
      <c r="F625" s="17">
        <f t="shared" si="222"/>
        <v>630.6</v>
      </c>
    </row>
    <row r="626" spans="1:6" ht="31.5">
      <c r="A626" s="149" t="s">
        <v>89</v>
      </c>
      <c r="B626" s="149" t="s">
        <v>348</v>
      </c>
      <c r="C626" s="149">
        <v>240</v>
      </c>
      <c r="D626" s="73" t="s">
        <v>257</v>
      </c>
      <c r="E626" s="17">
        <f>'№ 6'!F449</f>
        <v>630.6</v>
      </c>
      <c r="F626" s="17">
        <f>'№ 6'!G449</f>
        <v>630.6</v>
      </c>
    </row>
    <row r="627" spans="1:6" ht="12.75">
      <c r="A627" s="137">
        <v>1103</v>
      </c>
      <c r="B627" s="137" t="s">
        <v>69</v>
      </c>
      <c r="C627" s="137" t="s">
        <v>69</v>
      </c>
      <c r="D627" s="138" t="s">
        <v>341</v>
      </c>
      <c r="E627" s="17">
        <f>E628+E645</f>
        <v>16388.699999999997</v>
      </c>
      <c r="F627" s="17">
        <f>F628+F645</f>
        <v>16388.7</v>
      </c>
    </row>
    <row r="628" spans="1:6" ht="47.25">
      <c r="A628" s="137">
        <v>1103</v>
      </c>
      <c r="B628" s="139">
        <v>1200000000</v>
      </c>
      <c r="C628" s="137"/>
      <c r="D628" s="138" t="s">
        <v>197</v>
      </c>
      <c r="E628" s="17">
        <f>E629</f>
        <v>15698.699999999999</v>
      </c>
      <c r="F628" s="17">
        <f aca="true" t="shared" si="223" ref="F628">F629</f>
        <v>15698.7</v>
      </c>
    </row>
    <row r="629" spans="1:6" ht="31.5">
      <c r="A629" s="137">
        <v>1103</v>
      </c>
      <c r="B629" s="137">
        <v>1260000000</v>
      </c>
      <c r="C629" s="137"/>
      <c r="D629" s="138" t="s">
        <v>342</v>
      </c>
      <c r="E629" s="17">
        <f>E630+E634+E638</f>
        <v>15698.699999999999</v>
      </c>
      <c r="F629" s="17">
        <f>F630+F634+F638</f>
        <v>15698.7</v>
      </c>
    </row>
    <row r="630" spans="1:6" ht="47.25">
      <c r="A630" s="137">
        <v>1103</v>
      </c>
      <c r="B630" s="137">
        <v>1260100000</v>
      </c>
      <c r="C630" s="137"/>
      <c r="D630" s="138" t="s">
        <v>343</v>
      </c>
      <c r="E630" s="17">
        <f>E631</f>
        <v>14916.099999999999</v>
      </c>
      <c r="F630" s="17">
        <f aca="true" t="shared" si="224" ref="F630:F632">F631</f>
        <v>14916.1</v>
      </c>
    </row>
    <row r="631" spans="1:6" ht="31.5">
      <c r="A631" s="137">
        <v>1103</v>
      </c>
      <c r="B631" s="137">
        <v>1260120010</v>
      </c>
      <c r="C631" s="137"/>
      <c r="D631" s="154" t="s">
        <v>126</v>
      </c>
      <c r="E631" s="17">
        <f>E632</f>
        <v>14916.099999999999</v>
      </c>
      <c r="F631" s="17">
        <f t="shared" si="224"/>
        <v>14916.1</v>
      </c>
    </row>
    <row r="632" spans="1:6" ht="31.5">
      <c r="A632" s="137">
        <v>1103</v>
      </c>
      <c r="B632" s="137">
        <v>1260120010</v>
      </c>
      <c r="C632" s="139" t="s">
        <v>97</v>
      </c>
      <c r="D632" s="138" t="s">
        <v>98</v>
      </c>
      <c r="E632" s="17">
        <f>E633</f>
        <v>14916.099999999999</v>
      </c>
      <c r="F632" s="17">
        <f t="shared" si="224"/>
        <v>14916.1</v>
      </c>
    </row>
    <row r="633" spans="1:6" ht="12.75">
      <c r="A633" s="137">
        <v>1103</v>
      </c>
      <c r="B633" s="137">
        <v>1260120010</v>
      </c>
      <c r="C633" s="137">
        <v>610</v>
      </c>
      <c r="D633" s="138" t="s">
        <v>106</v>
      </c>
      <c r="E633" s="17">
        <f>'№ 6'!F456</f>
        <v>14916.099999999999</v>
      </c>
      <c r="F633" s="17">
        <f>'№ 6'!G456</f>
        <v>14916.1</v>
      </c>
    </row>
    <row r="634" spans="1:6" ht="31.5">
      <c r="A634" s="208">
        <v>1103</v>
      </c>
      <c r="B634" s="208">
        <v>1260400000</v>
      </c>
      <c r="C634" s="208"/>
      <c r="D634" s="209" t="s">
        <v>384</v>
      </c>
      <c r="E634" s="17">
        <f>E635</f>
        <v>426.9999999999998</v>
      </c>
      <c r="F634" s="17">
        <f aca="true" t="shared" si="225" ref="F634:F636">F635</f>
        <v>427</v>
      </c>
    </row>
    <row r="635" spans="1:6" ht="31.5">
      <c r="A635" s="208">
        <v>1103</v>
      </c>
      <c r="B635" s="208">
        <v>1260420110</v>
      </c>
      <c r="C635" s="208"/>
      <c r="D635" s="147" t="s">
        <v>385</v>
      </c>
      <c r="E635" s="17">
        <f>E636</f>
        <v>426.9999999999998</v>
      </c>
      <c r="F635" s="17">
        <f t="shared" si="225"/>
        <v>427</v>
      </c>
    </row>
    <row r="636" spans="1:6" ht="31.5">
      <c r="A636" s="208">
        <v>1103</v>
      </c>
      <c r="B636" s="208">
        <v>1260420110</v>
      </c>
      <c r="C636" s="212">
        <v>400</v>
      </c>
      <c r="D636" s="73" t="s">
        <v>96</v>
      </c>
      <c r="E636" s="17">
        <f>E637</f>
        <v>426.9999999999998</v>
      </c>
      <c r="F636" s="17">
        <f t="shared" si="225"/>
        <v>427</v>
      </c>
    </row>
    <row r="637" spans="1:6" ht="94.5">
      <c r="A637" s="208">
        <v>1103</v>
      </c>
      <c r="B637" s="208">
        <v>1260420110</v>
      </c>
      <c r="C637" s="211">
        <v>460</v>
      </c>
      <c r="D637" s="147" t="s">
        <v>387</v>
      </c>
      <c r="E637" s="17">
        <f>'№ 6'!F460</f>
        <v>426.9999999999998</v>
      </c>
      <c r="F637" s="17">
        <f>'№ 6'!G460</f>
        <v>427</v>
      </c>
    </row>
    <row r="638" spans="1:6" ht="31.5">
      <c r="A638" s="137">
        <v>1103</v>
      </c>
      <c r="B638" s="137" t="s">
        <v>345</v>
      </c>
      <c r="C638" s="137"/>
      <c r="D638" s="146" t="s">
        <v>344</v>
      </c>
      <c r="E638" s="17">
        <f>E642+E639</f>
        <v>355.6</v>
      </c>
      <c r="F638" s="17">
        <f aca="true" t="shared" si="226" ref="F638">F642+F639</f>
        <v>355.6</v>
      </c>
    </row>
    <row r="639" spans="1:6" ht="78.75">
      <c r="A639" s="157">
        <v>1103</v>
      </c>
      <c r="B639" s="156" t="s">
        <v>378</v>
      </c>
      <c r="C639" s="157"/>
      <c r="D639" s="148" t="s">
        <v>379</v>
      </c>
      <c r="E639" s="17">
        <f>E640</f>
        <v>320</v>
      </c>
      <c r="F639" s="17">
        <f aca="true" t="shared" si="227" ref="F639:F640">F640</f>
        <v>320</v>
      </c>
    </row>
    <row r="640" spans="1:6" ht="31.5">
      <c r="A640" s="157">
        <v>1103</v>
      </c>
      <c r="B640" s="156" t="s">
        <v>378</v>
      </c>
      <c r="C640" s="159" t="s">
        <v>97</v>
      </c>
      <c r="D640" s="158" t="s">
        <v>98</v>
      </c>
      <c r="E640" s="17">
        <f>E641</f>
        <v>320</v>
      </c>
      <c r="F640" s="17">
        <f t="shared" si="227"/>
        <v>320</v>
      </c>
    </row>
    <row r="641" spans="1:6" ht="12.75">
      <c r="A641" s="157">
        <v>1103</v>
      </c>
      <c r="B641" s="156" t="s">
        <v>378</v>
      </c>
      <c r="C641" s="157">
        <v>610</v>
      </c>
      <c r="D641" s="158" t="s">
        <v>106</v>
      </c>
      <c r="E641" s="17">
        <f>'№ 6'!F464</f>
        <v>320</v>
      </c>
      <c r="F641" s="17">
        <f>'№ 6'!G464</f>
        <v>320</v>
      </c>
    </row>
    <row r="642" spans="1:6" ht="78.75">
      <c r="A642" s="137">
        <v>1103</v>
      </c>
      <c r="B642" s="135" t="s">
        <v>346</v>
      </c>
      <c r="C642" s="137"/>
      <c r="D642" s="148" t="s">
        <v>352</v>
      </c>
      <c r="E642" s="17">
        <f>E643</f>
        <v>35.6</v>
      </c>
      <c r="F642" s="17">
        <f aca="true" t="shared" si="228" ref="F642:F643">F643</f>
        <v>35.6</v>
      </c>
    </row>
    <row r="643" spans="1:6" ht="31.5">
      <c r="A643" s="137">
        <v>1103</v>
      </c>
      <c r="B643" s="135" t="s">
        <v>346</v>
      </c>
      <c r="C643" s="139" t="s">
        <v>97</v>
      </c>
      <c r="D643" s="138" t="s">
        <v>98</v>
      </c>
      <c r="E643" s="17">
        <f>E644</f>
        <v>35.6</v>
      </c>
      <c r="F643" s="17">
        <f t="shared" si="228"/>
        <v>35.6</v>
      </c>
    </row>
    <row r="644" spans="1:6" ht="12.75">
      <c r="A644" s="137">
        <v>1103</v>
      </c>
      <c r="B644" s="135" t="s">
        <v>346</v>
      </c>
      <c r="C644" s="137">
        <v>610</v>
      </c>
      <c r="D644" s="138" t="s">
        <v>106</v>
      </c>
      <c r="E644" s="17">
        <f>'№ 6'!F467</f>
        <v>35.6</v>
      </c>
      <c r="F644" s="17">
        <f>'№ 6'!G467</f>
        <v>35.6</v>
      </c>
    </row>
    <row r="645" spans="1:6" ht="12.75">
      <c r="A645" s="197">
        <v>1103</v>
      </c>
      <c r="B645" s="198">
        <v>9900000000</v>
      </c>
      <c r="C645" s="198"/>
      <c r="D645" s="73" t="s">
        <v>107</v>
      </c>
      <c r="E645" s="17">
        <f>E646</f>
        <v>690</v>
      </c>
      <c r="F645" s="17">
        <f aca="true" t="shared" si="229" ref="F645:F648">F646</f>
        <v>690</v>
      </c>
    </row>
    <row r="646" spans="1:6" ht="47.25">
      <c r="A646" s="197">
        <v>1103</v>
      </c>
      <c r="B646" s="198">
        <v>9920000000</v>
      </c>
      <c r="C646" s="198"/>
      <c r="D646" s="73" t="s">
        <v>381</v>
      </c>
      <c r="E646" s="17">
        <f>E647</f>
        <v>690</v>
      </c>
      <c r="F646" s="17">
        <f t="shared" si="229"/>
        <v>690</v>
      </c>
    </row>
    <row r="647" spans="1:6" ht="47.25">
      <c r="A647" s="197">
        <v>1103</v>
      </c>
      <c r="B647" s="198">
        <v>9920010920</v>
      </c>
      <c r="C647" s="198"/>
      <c r="D647" s="73" t="s">
        <v>382</v>
      </c>
      <c r="E647" s="17">
        <f>E648</f>
        <v>690</v>
      </c>
      <c r="F647" s="17">
        <f t="shared" si="229"/>
        <v>690</v>
      </c>
    </row>
    <row r="648" spans="1:6" ht="31.5">
      <c r="A648" s="197">
        <v>1103</v>
      </c>
      <c r="B648" s="198">
        <v>9920010920</v>
      </c>
      <c r="C648" s="198" t="s">
        <v>97</v>
      </c>
      <c r="D648" s="73" t="s">
        <v>98</v>
      </c>
      <c r="E648" s="17">
        <f>E649</f>
        <v>690</v>
      </c>
      <c r="F648" s="17">
        <f t="shared" si="229"/>
        <v>690</v>
      </c>
    </row>
    <row r="649" spans="1:6" ht="12.75">
      <c r="A649" s="197">
        <v>1103</v>
      </c>
      <c r="B649" s="198">
        <v>9920010920</v>
      </c>
      <c r="C649" s="198">
        <v>610</v>
      </c>
      <c r="D649" s="73" t="s">
        <v>106</v>
      </c>
      <c r="E649" s="17">
        <f>'№ 6'!F472</f>
        <v>690</v>
      </c>
      <c r="F649" s="17">
        <f>'№ 6'!G472</f>
        <v>690</v>
      </c>
    </row>
    <row r="650" spans="1:6" ht="12.75">
      <c r="A650" s="4" t="s">
        <v>93</v>
      </c>
      <c r="B650" s="4" t="s">
        <v>69</v>
      </c>
      <c r="C650" s="4" t="s">
        <v>69</v>
      </c>
      <c r="D650" s="20" t="s">
        <v>66</v>
      </c>
      <c r="E650" s="82">
        <f>E651</f>
        <v>1939.4</v>
      </c>
      <c r="F650" s="82">
        <f aca="true" t="shared" si="230" ref="F650:F653">F651</f>
        <v>1939.4</v>
      </c>
    </row>
    <row r="651" spans="1:6" ht="12.75">
      <c r="A651" s="105" t="s">
        <v>67</v>
      </c>
      <c r="B651" s="105" t="s">
        <v>69</v>
      </c>
      <c r="C651" s="105" t="s">
        <v>69</v>
      </c>
      <c r="D651" s="106" t="s">
        <v>68</v>
      </c>
      <c r="E651" s="17">
        <f>E652</f>
        <v>1939.4</v>
      </c>
      <c r="F651" s="17">
        <f t="shared" si="230"/>
        <v>1939.4</v>
      </c>
    </row>
    <row r="652" spans="1:6" ht="47.25">
      <c r="A652" s="105" t="s">
        <v>67</v>
      </c>
      <c r="B652" s="107">
        <v>1200000000</v>
      </c>
      <c r="C652" s="105"/>
      <c r="D652" s="106" t="s">
        <v>197</v>
      </c>
      <c r="E652" s="17">
        <f>E653</f>
        <v>1939.4</v>
      </c>
      <c r="F652" s="17">
        <f t="shared" si="230"/>
        <v>1939.4</v>
      </c>
    </row>
    <row r="653" spans="1:6" ht="40.9" customHeight="1">
      <c r="A653" s="105" t="s">
        <v>67</v>
      </c>
      <c r="B653" s="107">
        <v>1240000000</v>
      </c>
      <c r="C653" s="105"/>
      <c r="D653" s="106" t="s">
        <v>140</v>
      </c>
      <c r="E653" s="17">
        <f>E654</f>
        <v>1939.4</v>
      </c>
      <c r="F653" s="17">
        <f t="shared" si="230"/>
        <v>1939.4</v>
      </c>
    </row>
    <row r="654" spans="1:6" ht="23.45" customHeight="1">
      <c r="A654" s="105" t="s">
        <v>67</v>
      </c>
      <c r="B654" s="105">
        <v>1240300000</v>
      </c>
      <c r="C654" s="105"/>
      <c r="D654" s="106" t="s">
        <v>219</v>
      </c>
      <c r="E654" s="17">
        <f>E655+E658+E661</f>
        <v>1939.4</v>
      </c>
      <c r="F654" s="17">
        <f aca="true" t="shared" si="231" ref="F654">F655+F658+F661</f>
        <v>1939.4</v>
      </c>
    </row>
    <row r="655" spans="1:6" ht="47.25">
      <c r="A655" s="105" t="s">
        <v>67</v>
      </c>
      <c r="B655" s="105">
        <v>1240310320</v>
      </c>
      <c r="C655" s="105"/>
      <c r="D655" s="73" t="s">
        <v>307</v>
      </c>
      <c r="E655" s="17">
        <f>E656</f>
        <v>476.90000000000003</v>
      </c>
      <c r="F655" s="17">
        <f aca="true" t="shared" si="232" ref="F655:F656">F656</f>
        <v>476.9</v>
      </c>
    </row>
    <row r="656" spans="1:6" ht="31.5">
      <c r="A656" s="105" t="s">
        <v>67</v>
      </c>
      <c r="B656" s="105">
        <v>1240310320</v>
      </c>
      <c r="C656" s="107" t="s">
        <v>97</v>
      </c>
      <c r="D656" s="106" t="s">
        <v>98</v>
      </c>
      <c r="E656" s="17">
        <f>E657</f>
        <v>476.90000000000003</v>
      </c>
      <c r="F656" s="17">
        <f t="shared" si="232"/>
        <v>476.9</v>
      </c>
    </row>
    <row r="657" spans="1:6" ht="31.5">
      <c r="A657" s="105" t="s">
        <v>67</v>
      </c>
      <c r="B657" s="105">
        <v>1240310320</v>
      </c>
      <c r="C657" s="105">
        <v>630</v>
      </c>
      <c r="D657" s="106" t="s">
        <v>156</v>
      </c>
      <c r="E657" s="17">
        <f>'№ 6'!F480</f>
        <v>476.90000000000003</v>
      </c>
      <c r="F657" s="17">
        <f>'№ 6'!G480</f>
        <v>476.9</v>
      </c>
    </row>
    <row r="658" spans="1:6" ht="47.25">
      <c r="A658" s="105" t="s">
        <v>67</v>
      </c>
      <c r="B658" s="105">
        <v>1240320400</v>
      </c>
      <c r="C658" s="105"/>
      <c r="D658" s="106" t="s">
        <v>308</v>
      </c>
      <c r="E658" s="17">
        <f>E659</f>
        <v>609</v>
      </c>
      <c r="F658" s="17">
        <f aca="true" t="shared" si="233" ref="F658:F659">F659</f>
        <v>609</v>
      </c>
    </row>
    <row r="659" spans="1:6" ht="31.5">
      <c r="A659" s="105" t="s">
        <v>67</v>
      </c>
      <c r="B659" s="105">
        <v>1240320400</v>
      </c>
      <c r="C659" s="107" t="s">
        <v>72</v>
      </c>
      <c r="D659" s="106" t="s">
        <v>95</v>
      </c>
      <c r="E659" s="17">
        <f>E660</f>
        <v>609</v>
      </c>
      <c r="F659" s="17">
        <f t="shared" si="233"/>
        <v>609</v>
      </c>
    </row>
    <row r="660" spans="1:6" ht="31.5">
      <c r="A660" s="105" t="s">
        <v>67</v>
      </c>
      <c r="B660" s="105">
        <v>1240320400</v>
      </c>
      <c r="C660" s="105">
        <v>240</v>
      </c>
      <c r="D660" s="106" t="s">
        <v>257</v>
      </c>
      <c r="E660" s="17">
        <f>'№ 6'!F483</f>
        <v>609</v>
      </c>
      <c r="F660" s="17">
        <f>'№ 6'!G483</f>
        <v>609</v>
      </c>
    </row>
    <row r="661" spans="1:6" ht="47.25">
      <c r="A661" s="105" t="s">
        <v>67</v>
      </c>
      <c r="B661" s="105" t="s">
        <v>159</v>
      </c>
      <c r="C661" s="105"/>
      <c r="D661" s="106" t="s">
        <v>158</v>
      </c>
      <c r="E661" s="22">
        <f>E662</f>
        <v>853.5</v>
      </c>
      <c r="F661" s="22">
        <f aca="true" t="shared" si="234" ref="F661:F662">F662</f>
        <v>853.5</v>
      </c>
    </row>
    <row r="662" spans="1:6" ht="31.5">
      <c r="A662" s="105" t="s">
        <v>67</v>
      </c>
      <c r="B662" s="105" t="s">
        <v>159</v>
      </c>
      <c r="C662" s="107" t="s">
        <v>97</v>
      </c>
      <c r="D662" s="106" t="s">
        <v>98</v>
      </c>
      <c r="E662" s="22">
        <f>E663</f>
        <v>853.5</v>
      </c>
      <c r="F662" s="22">
        <f t="shared" si="234"/>
        <v>853.5</v>
      </c>
    </row>
    <row r="663" spans="1:6" ht="31.5">
      <c r="A663" s="105" t="s">
        <v>67</v>
      </c>
      <c r="B663" s="105" t="s">
        <v>159</v>
      </c>
      <c r="C663" s="105">
        <v>630</v>
      </c>
      <c r="D663" s="106" t="s">
        <v>156</v>
      </c>
      <c r="E663" s="22">
        <f>'№ 6'!F486</f>
        <v>853.5</v>
      </c>
      <c r="F663" s="22">
        <f>'№ 6'!G486</f>
        <v>853.5</v>
      </c>
    </row>
    <row r="664" spans="1:6" ht="24" customHeight="1">
      <c r="A664" s="4" t="s">
        <v>263</v>
      </c>
      <c r="B664" s="4" t="s">
        <v>69</v>
      </c>
      <c r="C664" s="4" t="s">
        <v>69</v>
      </c>
      <c r="D664" s="20" t="s">
        <v>264</v>
      </c>
      <c r="E664" s="6">
        <f aca="true" t="shared" si="235" ref="E664:E669">E665</f>
        <v>24</v>
      </c>
      <c r="F664" s="6">
        <f aca="true" t="shared" si="236" ref="F664:F669">F665</f>
        <v>23.6</v>
      </c>
    </row>
    <row r="665" spans="1:6" ht="19.15" customHeight="1">
      <c r="A665" s="105" t="s">
        <v>265</v>
      </c>
      <c r="B665" s="105" t="s">
        <v>69</v>
      </c>
      <c r="C665" s="105" t="s">
        <v>69</v>
      </c>
      <c r="D665" s="73" t="s">
        <v>266</v>
      </c>
      <c r="E665" s="22">
        <f t="shared" si="235"/>
        <v>24</v>
      </c>
      <c r="F665" s="22">
        <f t="shared" si="236"/>
        <v>23.6</v>
      </c>
    </row>
    <row r="666" spans="1:6" ht="12.75">
      <c r="A666" s="105" t="s">
        <v>265</v>
      </c>
      <c r="B666" s="105">
        <v>9900000000</v>
      </c>
      <c r="C666" s="105"/>
      <c r="D666" s="73" t="s">
        <v>107</v>
      </c>
      <c r="E666" s="22">
        <f t="shared" si="235"/>
        <v>24</v>
      </c>
      <c r="F666" s="22">
        <f t="shared" si="236"/>
        <v>23.6</v>
      </c>
    </row>
    <row r="667" spans="1:6" ht="31.5">
      <c r="A667" s="105" t="s">
        <v>265</v>
      </c>
      <c r="B667" s="105">
        <v>9930000000</v>
      </c>
      <c r="C667" s="105"/>
      <c r="D667" s="73" t="s">
        <v>173</v>
      </c>
      <c r="E667" s="22">
        <f t="shared" si="235"/>
        <v>24</v>
      </c>
      <c r="F667" s="22">
        <f t="shared" si="236"/>
        <v>23.6</v>
      </c>
    </row>
    <row r="668" spans="1:6" ht="12.75">
      <c r="A668" s="105" t="s">
        <v>265</v>
      </c>
      <c r="B668" s="105">
        <v>9930020500</v>
      </c>
      <c r="C668" s="105"/>
      <c r="D668" s="73" t="s">
        <v>267</v>
      </c>
      <c r="E668" s="22">
        <f t="shared" si="235"/>
        <v>24</v>
      </c>
      <c r="F668" s="22">
        <f t="shared" si="236"/>
        <v>23.6</v>
      </c>
    </row>
    <row r="669" spans="1:6" ht="12.75">
      <c r="A669" s="105" t="s">
        <v>265</v>
      </c>
      <c r="B669" s="105">
        <v>9930020500</v>
      </c>
      <c r="C669" s="105" t="s">
        <v>268</v>
      </c>
      <c r="D669" s="73" t="s">
        <v>269</v>
      </c>
      <c r="E669" s="22">
        <f t="shared" si="235"/>
        <v>24</v>
      </c>
      <c r="F669" s="22">
        <f t="shared" si="236"/>
        <v>23.6</v>
      </c>
    </row>
    <row r="670" spans="1:6" ht="12.75">
      <c r="A670" s="105" t="s">
        <v>265</v>
      </c>
      <c r="B670" s="105">
        <v>9930020500</v>
      </c>
      <c r="C670" s="1" t="s">
        <v>270</v>
      </c>
      <c r="D670" s="81" t="s">
        <v>267</v>
      </c>
      <c r="E670" s="22">
        <f>'№ 6'!F510</f>
        <v>24</v>
      </c>
      <c r="F670" s="22">
        <f>'№ 6'!G510</f>
        <v>23.6</v>
      </c>
    </row>
  </sheetData>
  <autoFilter ref="A4:J4"/>
  <mergeCells count="2">
    <mergeCell ref="A1:F1"/>
    <mergeCell ref="A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07"/>
  <sheetViews>
    <sheetView view="pageBreakPreview" zoomScaleSheetLayoutView="100" workbookViewId="0" topLeftCell="A1">
      <selection activeCell="A1" sqref="A1:E1"/>
    </sheetView>
  </sheetViews>
  <sheetFormatPr defaultColWidth="8.875" defaultRowHeight="12.75"/>
  <cols>
    <col min="1" max="1" width="15.00390625" style="31" customWidth="1"/>
    <col min="2" max="2" width="8.75390625" style="31" customWidth="1"/>
    <col min="3" max="3" width="73.25390625" style="67" customWidth="1"/>
    <col min="4" max="4" width="12.875" style="39" customWidth="1"/>
    <col min="5" max="5" width="13.125" style="39" customWidth="1"/>
    <col min="6" max="6" width="8.875" style="31" customWidth="1"/>
    <col min="7" max="10" width="8.875" style="199" customWidth="1"/>
    <col min="11" max="16384" width="8.875" style="31" customWidth="1"/>
  </cols>
  <sheetData>
    <row r="1" spans="1:5" ht="52.15" customHeight="1">
      <c r="A1" s="428" t="s">
        <v>1062</v>
      </c>
      <c r="B1" s="428"/>
      <c r="C1" s="428"/>
      <c r="D1" s="428"/>
      <c r="E1" s="428"/>
    </row>
    <row r="2" spans="1:5" ht="50.45" customHeight="1">
      <c r="A2" s="427" t="s">
        <v>474</v>
      </c>
      <c r="B2" s="427"/>
      <c r="C2" s="427"/>
      <c r="D2" s="427"/>
      <c r="E2" s="427"/>
    </row>
    <row r="3" spans="1:5" ht="47.25">
      <c r="A3" s="274"/>
      <c r="B3" s="274" t="s">
        <v>19</v>
      </c>
      <c r="C3" s="267" t="s">
        <v>20</v>
      </c>
      <c r="D3" s="262" t="s">
        <v>457</v>
      </c>
      <c r="E3" s="11" t="s">
        <v>458</v>
      </c>
    </row>
    <row r="4" spans="1:5" ht="12.75">
      <c r="A4" s="45" t="s">
        <v>4</v>
      </c>
      <c r="B4" s="45" t="s">
        <v>80</v>
      </c>
      <c r="C4" s="267" t="s">
        <v>81</v>
      </c>
      <c r="D4" s="46" t="s">
        <v>82</v>
      </c>
      <c r="E4" s="46" t="s">
        <v>83</v>
      </c>
    </row>
    <row r="5" spans="1:5" ht="12.75">
      <c r="A5" s="32" t="s">
        <v>69</v>
      </c>
      <c r="B5" s="32" t="s">
        <v>69</v>
      </c>
      <c r="C5" s="33" t="s">
        <v>0</v>
      </c>
      <c r="D5" s="36">
        <f>D6+D95+D249+D293+D347+D368+D416</f>
        <v>958698.5</v>
      </c>
      <c r="E5" s="36">
        <f>E6+E95+E249+E293+E347+E368+E416</f>
        <v>940575.0000000002</v>
      </c>
    </row>
    <row r="6" spans="1:5" ht="33" customHeight="1">
      <c r="A6" s="29">
        <v>1100000000</v>
      </c>
      <c r="B6" s="34"/>
      <c r="C6" s="58" t="s">
        <v>202</v>
      </c>
      <c r="D6" s="37">
        <f>D7+D56+D71</f>
        <v>516009.49999999994</v>
      </c>
      <c r="E6" s="37">
        <f>E7+E56+E71</f>
        <v>511171.9</v>
      </c>
    </row>
    <row r="7" spans="1:5" ht="12.75">
      <c r="A7" s="42">
        <v>1110000000</v>
      </c>
      <c r="B7" s="42"/>
      <c r="C7" s="57" t="s">
        <v>183</v>
      </c>
      <c r="D7" s="38">
        <f>D8+D18+D24+D34+D42+D38+D52</f>
        <v>476661.1</v>
      </c>
      <c r="E7" s="38">
        <f>E8+E18+E24+E34+E42+E38+E52</f>
        <v>471990.2</v>
      </c>
    </row>
    <row r="8" spans="1:5" ht="47.25">
      <c r="A8" s="42">
        <v>1110100000</v>
      </c>
      <c r="B8" s="25"/>
      <c r="C8" s="57" t="s">
        <v>184</v>
      </c>
      <c r="D8" s="38">
        <f>D15+D9+D12</f>
        <v>436876.19999999995</v>
      </c>
      <c r="E8" s="38">
        <f aca="true" t="shared" si="0" ref="E8">E15+E9+E12</f>
        <v>436876.2</v>
      </c>
    </row>
    <row r="9" spans="1:5" ht="47.25">
      <c r="A9" s="10" t="s">
        <v>186</v>
      </c>
      <c r="B9" s="11"/>
      <c r="C9" s="50" t="s">
        <v>105</v>
      </c>
      <c r="D9" s="38">
        <f>D10</f>
        <v>108564.59999999999</v>
      </c>
      <c r="E9" s="38">
        <f aca="true" t="shared" si="1" ref="E9:E10">E10</f>
        <v>108564.6</v>
      </c>
    </row>
    <row r="10" spans="1:5" ht="31.5">
      <c r="A10" s="10" t="s">
        <v>186</v>
      </c>
      <c r="B10" s="43" t="s">
        <v>97</v>
      </c>
      <c r="C10" s="57" t="s">
        <v>98</v>
      </c>
      <c r="D10" s="38">
        <f>D11</f>
        <v>108564.59999999999</v>
      </c>
      <c r="E10" s="38">
        <f t="shared" si="1"/>
        <v>108564.6</v>
      </c>
    </row>
    <row r="11" spans="1:5" ht="12.75">
      <c r="A11" s="10" t="s">
        <v>186</v>
      </c>
      <c r="B11" s="42">
        <v>610</v>
      </c>
      <c r="C11" s="57" t="s">
        <v>106</v>
      </c>
      <c r="D11" s="38">
        <f>'№ 7'!E329</f>
        <v>108564.59999999999</v>
      </c>
      <c r="E11" s="38">
        <f>'№ 7'!F329</f>
        <v>108564.6</v>
      </c>
    </row>
    <row r="12" spans="1:5" ht="81" customHeight="1">
      <c r="A12" s="42">
        <v>1110110750</v>
      </c>
      <c r="B12" s="42"/>
      <c r="C12" s="57" t="s">
        <v>187</v>
      </c>
      <c r="D12" s="38">
        <f>D13</f>
        <v>200357.1</v>
      </c>
      <c r="E12" s="38">
        <f aca="true" t="shared" si="2" ref="E12:E13">E13</f>
        <v>200357.1</v>
      </c>
    </row>
    <row r="13" spans="1:5" ht="31.5">
      <c r="A13" s="42">
        <v>1110110750</v>
      </c>
      <c r="B13" s="43" t="s">
        <v>97</v>
      </c>
      <c r="C13" s="57" t="s">
        <v>98</v>
      </c>
      <c r="D13" s="38">
        <f>D14</f>
        <v>200357.1</v>
      </c>
      <c r="E13" s="38">
        <f t="shared" si="2"/>
        <v>200357.1</v>
      </c>
    </row>
    <row r="14" spans="1:5" ht="12.75">
      <c r="A14" s="42">
        <v>1110110750</v>
      </c>
      <c r="B14" s="42">
        <v>610</v>
      </c>
      <c r="C14" s="57" t="s">
        <v>106</v>
      </c>
      <c r="D14" s="38">
        <f>'№ 7'!E370</f>
        <v>200357.1</v>
      </c>
      <c r="E14" s="38">
        <f>'№ 7'!F370</f>
        <v>200357.1</v>
      </c>
    </row>
    <row r="15" spans="1:5" ht="31.5">
      <c r="A15" s="10" t="s">
        <v>185</v>
      </c>
      <c r="B15" s="10"/>
      <c r="C15" s="50" t="s">
        <v>126</v>
      </c>
      <c r="D15" s="38">
        <f>D16</f>
        <v>127954.5</v>
      </c>
      <c r="E15" s="38">
        <f aca="true" t="shared" si="3" ref="E15">E16</f>
        <v>127954.5</v>
      </c>
    </row>
    <row r="16" spans="1:5" ht="31.5">
      <c r="A16" s="10" t="s">
        <v>185</v>
      </c>
      <c r="B16" s="43" t="s">
        <v>97</v>
      </c>
      <c r="C16" s="57" t="s">
        <v>98</v>
      </c>
      <c r="D16" s="38">
        <f>D17</f>
        <v>127954.5</v>
      </c>
      <c r="E16" s="38">
        <f aca="true" t="shared" si="4" ref="E16">E17</f>
        <v>127954.5</v>
      </c>
    </row>
    <row r="17" spans="1:5" ht="12.75">
      <c r="A17" s="10" t="s">
        <v>185</v>
      </c>
      <c r="B17" s="42">
        <v>610</v>
      </c>
      <c r="C17" s="57" t="s">
        <v>106</v>
      </c>
      <c r="D17" s="38">
        <f>'№ 7'!E332+'№ 7'!E371</f>
        <v>127954.5</v>
      </c>
      <c r="E17" s="38">
        <f>'№ 7'!F332+'№ 7'!F371</f>
        <v>127954.5</v>
      </c>
    </row>
    <row r="18" spans="1:5" ht="33.75" customHeight="1">
      <c r="A18" s="42">
        <v>1110200000</v>
      </c>
      <c r="B18" s="42"/>
      <c r="C18" s="57" t="s">
        <v>196</v>
      </c>
      <c r="D18" s="38">
        <f>D19</f>
        <v>9588.3</v>
      </c>
      <c r="E18" s="38">
        <f aca="true" t="shared" si="5" ref="E18">E19</f>
        <v>7300</v>
      </c>
    </row>
    <row r="19" spans="1:5" ht="78.75">
      <c r="A19" s="42">
        <v>1110210500</v>
      </c>
      <c r="B19" s="42"/>
      <c r="C19" s="57" t="s">
        <v>249</v>
      </c>
      <c r="D19" s="38">
        <f>D20+D22</f>
        <v>9588.3</v>
      </c>
      <c r="E19" s="38">
        <f aca="true" t="shared" si="6" ref="E19">E20+E22</f>
        <v>7300</v>
      </c>
    </row>
    <row r="20" spans="1:5" ht="31.5">
      <c r="A20" s="42">
        <v>1110210500</v>
      </c>
      <c r="B20" s="42" t="s">
        <v>72</v>
      </c>
      <c r="C20" s="57" t="s">
        <v>95</v>
      </c>
      <c r="D20" s="38">
        <f>D21</f>
        <v>233.9</v>
      </c>
      <c r="E20" s="38">
        <f aca="true" t="shared" si="7" ref="E20">E21</f>
        <v>170.6</v>
      </c>
    </row>
    <row r="21" spans="1:5" ht="31.5">
      <c r="A21" s="42">
        <v>1110210500</v>
      </c>
      <c r="B21" s="42">
        <v>240</v>
      </c>
      <c r="C21" s="57" t="s">
        <v>257</v>
      </c>
      <c r="D21" s="38">
        <f>'№ 7'!E572</f>
        <v>233.9</v>
      </c>
      <c r="E21" s="38">
        <f>'№ 7'!F572</f>
        <v>170.6</v>
      </c>
    </row>
    <row r="22" spans="1:5" ht="12.75">
      <c r="A22" s="42">
        <v>1110210500</v>
      </c>
      <c r="B22" s="42" t="s">
        <v>76</v>
      </c>
      <c r="C22" s="57" t="s">
        <v>77</v>
      </c>
      <c r="D22" s="38">
        <f>D23</f>
        <v>9354.4</v>
      </c>
      <c r="E22" s="38">
        <f aca="true" t="shared" si="8" ref="E22">E23</f>
        <v>7129.4</v>
      </c>
    </row>
    <row r="23" spans="1:5" ht="31.5">
      <c r="A23" s="42">
        <v>1110210500</v>
      </c>
      <c r="B23" s="1" t="s">
        <v>103</v>
      </c>
      <c r="C23" s="60" t="s">
        <v>104</v>
      </c>
      <c r="D23" s="38">
        <f>'№ 7'!E574</f>
        <v>9354.4</v>
      </c>
      <c r="E23" s="38">
        <f>'№ 7'!F574</f>
        <v>7129.4</v>
      </c>
    </row>
    <row r="24" spans="1:5" ht="31.5">
      <c r="A24" s="42">
        <v>1110300000</v>
      </c>
      <c r="B24" s="42"/>
      <c r="C24" s="57" t="s">
        <v>188</v>
      </c>
      <c r="D24" s="38">
        <f>D28+D25+D31</f>
        <v>14744.1</v>
      </c>
      <c r="E24" s="38">
        <f aca="true" t="shared" si="9" ref="E24">E28+E25+E31</f>
        <v>12763</v>
      </c>
    </row>
    <row r="25" spans="1:5" ht="47.25">
      <c r="A25" s="105">
        <v>1110310230</v>
      </c>
      <c r="B25" s="105"/>
      <c r="C25" s="124" t="s">
        <v>317</v>
      </c>
      <c r="D25" s="38">
        <f>D26</f>
        <v>2760</v>
      </c>
      <c r="E25" s="38">
        <f aca="true" t="shared" si="10" ref="E25:E26">E26</f>
        <v>2759.9</v>
      </c>
    </row>
    <row r="26" spans="1:5" ht="31.5">
      <c r="A26" s="105">
        <v>1110310230</v>
      </c>
      <c r="B26" s="107" t="s">
        <v>97</v>
      </c>
      <c r="C26" s="106" t="s">
        <v>98</v>
      </c>
      <c r="D26" s="38">
        <f>D27</f>
        <v>2760</v>
      </c>
      <c r="E26" s="38">
        <f t="shared" si="10"/>
        <v>2759.9</v>
      </c>
    </row>
    <row r="27" spans="1:5" ht="12.75">
      <c r="A27" s="105">
        <v>1110310230</v>
      </c>
      <c r="B27" s="105">
        <v>610</v>
      </c>
      <c r="C27" s="106" t="s">
        <v>106</v>
      </c>
      <c r="D27" s="38">
        <f>'№ 7'!E377</f>
        <v>2760</v>
      </c>
      <c r="E27" s="38">
        <f>'№ 7'!F377</f>
        <v>2759.9</v>
      </c>
    </row>
    <row r="28" spans="1:5" ht="47.25">
      <c r="A28" s="42" t="s">
        <v>190</v>
      </c>
      <c r="B28" s="42"/>
      <c r="C28" s="57" t="s">
        <v>189</v>
      </c>
      <c r="D28" s="38">
        <f aca="true" t="shared" si="11" ref="D28:E29">D29</f>
        <v>2760</v>
      </c>
      <c r="E28" s="38">
        <f t="shared" si="11"/>
        <v>2759.9</v>
      </c>
    </row>
    <row r="29" spans="1:5" ht="31.5">
      <c r="A29" s="42" t="s">
        <v>190</v>
      </c>
      <c r="B29" s="43" t="s">
        <v>97</v>
      </c>
      <c r="C29" s="57" t="s">
        <v>98</v>
      </c>
      <c r="D29" s="38">
        <f t="shared" si="11"/>
        <v>2760</v>
      </c>
      <c r="E29" s="38">
        <f t="shared" si="11"/>
        <v>2759.9</v>
      </c>
    </row>
    <row r="30" spans="1:5" ht="12.75">
      <c r="A30" s="42" t="s">
        <v>190</v>
      </c>
      <c r="B30" s="42">
        <v>610</v>
      </c>
      <c r="C30" s="57" t="s">
        <v>106</v>
      </c>
      <c r="D30" s="38">
        <f>'№ 7'!E380</f>
        <v>2760</v>
      </c>
      <c r="E30" s="38">
        <f>'№ 7'!F380</f>
        <v>2759.9</v>
      </c>
    </row>
    <row r="31" spans="1:5" ht="47.25">
      <c r="A31" s="235" t="s">
        <v>424</v>
      </c>
      <c r="B31" s="235"/>
      <c r="C31" s="238" t="s">
        <v>426</v>
      </c>
      <c r="D31" s="38">
        <f>D32</f>
        <v>9224.1</v>
      </c>
      <c r="E31" s="38">
        <f aca="true" t="shared" si="12" ref="E31:E32">E32</f>
        <v>7243.2</v>
      </c>
    </row>
    <row r="32" spans="1:5" ht="31.5">
      <c r="A32" s="235" t="s">
        <v>424</v>
      </c>
      <c r="B32" s="237" t="s">
        <v>97</v>
      </c>
      <c r="C32" s="236" t="s">
        <v>98</v>
      </c>
      <c r="D32" s="38">
        <f>D33</f>
        <v>9224.1</v>
      </c>
      <c r="E32" s="38">
        <f t="shared" si="12"/>
        <v>7243.2</v>
      </c>
    </row>
    <row r="33" spans="1:5" ht="12.75">
      <c r="A33" s="235" t="s">
        <v>424</v>
      </c>
      <c r="B33" s="235">
        <v>610</v>
      </c>
      <c r="C33" s="236" t="s">
        <v>106</v>
      </c>
      <c r="D33" s="38">
        <f>'№ 7'!E383</f>
        <v>9224.1</v>
      </c>
      <c r="E33" s="38">
        <f>'№ 7'!F383</f>
        <v>7243.2</v>
      </c>
    </row>
    <row r="34" spans="1:5" ht="12.75">
      <c r="A34" s="42">
        <v>1110400000</v>
      </c>
      <c r="B34" s="42"/>
      <c r="C34" s="63" t="s">
        <v>191</v>
      </c>
      <c r="D34" s="38">
        <f>D35</f>
        <v>229.89999999999998</v>
      </c>
      <c r="E34" s="38">
        <f>E35</f>
        <v>229.9</v>
      </c>
    </row>
    <row r="35" spans="1:5" ht="31.5">
      <c r="A35" s="42" t="s">
        <v>193</v>
      </c>
      <c r="B35" s="42"/>
      <c r="C35" s="63" t="s">
        <v>192</v>
      </c>
      <c r="D35" s="38">
        <f>D36</f>
        <v>229.89999999999998</v>
      </c>
      <c r="E35" s="38">
        <f aca="true" t="shared" si="13" ref="E35:E36">E36</f>
        <v>229.9</v>
      </c>
    </row>
    <row r="36" spans="1:5" ht="12.75">
      <c r="A36" s="42" t="s">
        <v>193</v>
      </c>
      <c r="B36" s="1" t="s">
        <v>76</v>
      </c>
      <c r="C36" s="64" t="s">
        <v>77</v>
      </c>
      <c r="D36" s="38">
        <f>D37</f>
        <v>229.89999999999998</v>
      </c>
      <c r="E36" s="38">
        <f t="shared" si="13"/>
        <v>229.9</v>
      </c>
    </row>
    <row r="37" spans="1:5" ht="31.5">
      <c r="A37" s="42" t="s">
        <v>193</v>
      </c>
      <c r="B37" s="42">
        <v>320</v>
      </c>
      <c r="C37" s="57" t="s">
        <v>104</v>
      </c>
      <c r="D37" s="38">
        <f>'№ 7'!E463</f>
        <v>229.89999999999998</v>
      </c>
      <c r="E37" s="38">
        <f>'№ 7'!F463</f>
        <v>229.9</v>
      </c>
    </row>
    <row r="38" spans="1:5" ht="63">
      <c r="A38" s="132">
        <v>1110600000</v>
      </c>
      <c r="B38" s="132"/>
      <c r="C38" s="73" t="s">
        <v>325</v>
      </c>
      <c r="D38" s="38">
        <f>D39</f>
        <v>867.8000000000001</v>
      </c>
      <c r="E38" s="38">
        <f aca="true" t="shared" si="14" ref="E38:E40">E39</f>
        <v>867.8</v>
      </c>
    </row>
    <row r="39" spans="1:5" ht="31.5">
      <c r="A39" s="132">
        <v>1110620030</v>
      </c>
      <c r="B39" s="132"/>
      <c r="C39" s="73" t="s">
        <v>326</v>
      </c>
      <c r="D39" s="38">
        <f>D40</f>
        <v>867.8000000000001</v>
      </c>
      <c r="E39" s="38">
        <f t="shared" si="14"/>
        <v>867.8</v>
      </c>
    </row>
    <row r="40" spans="1:5" ht="31.5">
      <c r="A40" s="132">
        <v>1110620030</v>
      </c>
      <c r="B40" s="134" t="s">
        <v>97</v>
      </c>
      <c r="C40" s="133" t="s">
        <v>98</v>
      </c>
      <c r="D40" s="38">
        <f>D41</f>
        <v>867.8000000000001</v>
      </c>
      <c r="E40" s="38">
        <f t="shared" si="14"/>
        <v>867.8</v>
      </c>
    </row>
    <row r="41" spans="1:5" ht="12.75">
      <c r="A41" s="132">
        <v>1110620030</v>
      </c>
      <c r="B41" s="132">
        <v>610</v>
      </c>
      <c r="C41" s="133" t="s">
        <v>106</v>
      </c>
      <c r="D41" s="38">
        <f>'№ 7'!E336</f>
        <v>867.8000000000001</v>
      </c>
      <c r="E41" s="38">
        <f>'№ 7'!F336</f>
        <v>867.8</v>
      </c>
    </row>
    <row r="42" spans="1:5" ht="63">
      <c r="A42" s="126">
        <v>1110700000</v>
      </c>
      <c r="B42" s="126"/>
      <c r="C42" s="73" t="s">
        <v>318</v>
      </c>
      <c r="D42" s="38">
        <f>D49+D46+D43</f>
        <v>9511.400000000001</v>
      </c>
      <c r="E42" s="38">
        <f>E49+E46+E43</f>
        <v>9504.8</v>
      </c>
    </row>
    <row r="43" spans="1:5" ht="37.15" customHeight="1">
      <c r="A43" s="151">
        <v>1110710440</v>
      </c>
      <c r="B43" s="151"/>
      <c r="C43" s="152" t="s">
        <v>351</v>
      </c>
      <c r="D43" s="38">
        <f>D44</f>
        <v>3436.1000000000004</v>
      </c>
      <c r="E43" s="38">
        <f aca="true" t="shared" si="15" ref="E43:E44">E44</f>
        <v>3429.5</v>
      </c>
    </row>
    <row r="44" spans="1:5" ht="31.5">
      <c r="A44" s="151">
        <v>1110710440</v>
      </c>
      <c r="B44" s="153" t="s">
        <v>97</v>
      </c>
      <c r="C44" s="152" t="s">
        <v>98</v>
      </c>
      <c r="D44" s="38">
        <f>D45</f>
        <v>3436.1000000000004</v>
      </c>
      <c r="E44" s="38">
        <f t="shared" si="15"/>
        <v>3429.5</v>
      </c>
    </row>
    <row r="45" spans="1:5" ht="12.75">
      <c r="A45" s="151">
        <v>1110710440</v>
      </c>
      <c r="B45" s="151">
        <v>610</v>
      </c>
      <c r="C45" s="152" t="s">
        <v>106</v>
      </c>
      <c r="D45" s="38">
        <f>'№ 7'!E387</f>
        <v>3436.1000000000004</v>
      </c>
      <c r="E45" s="38">
        <f>'№ 7'!F387</f>
        <v>3429.5</v>
      </c>
    </row>
    <row r="46" spans="1:5" ht="31.5">
      <c r="A46" s="10" t="s">
        <v>320</v>
      </c>
      <c r="B46" s="126"/>
      <c r="C46" s="73" t="s">
        <v>321</v>
      </c>
      <c r="D46" s="38">
        <f>D47</f>
        <v>5134.200000000001</v>
      </c>
      <c r="E46" s="38">
        <f aca="true" t="shared" si="16" ref="E46:E47">E47</f>
        <v>5134.2</v>
      </c>
    </row>
    <row r="47" spans="1:5" ht="31.5">
      <c r="A47" s="10" t="s">
        <v>320</v>
      </c>
      <c r="B47" s="128" t="s">
        <v>97</v>
      </c>
      <c r="C47" s="127" t="s">
        <v>98</v>
      </c>
      <c r="D47" s="38">
        <f>D48</f>
        <v>5134.200000000001</v>
      </c>
      <c r="E47" s="38">
        <f t="shared" si="16"/>
        <v>5134.2</v>
      </c>
    </row>
    <row r="48" spans="1:5" ht="12.75">
      <c r="A48" s="10" t="s">
        <v>320</v>
      </c>
      <c r="B48" s="126">
        <v>610</v>
      </c>
      <c r="C48" s="127" t="s">
        <v>106</v>
      </c>
      <c r="D48" s="38">
        <f>'№ 7'!E340+'№ 7'!E388</f>
        <v>5134.200000000001</v>
      </c>
      <c r="E48" s="38">
        <f>'№ 7'!F340+'№ 7'!F388</f>
        <v>5134.2</v>
      </c>
    </row>
    <row r="49" spans="1:5" ht="31.5">
      <c r="A49" s="126" t="s">
        <v>319</v>
      </c>
      <c r="B49" s="126"/>
      <c r="C49" s="127" t="s">
        <v>250</v>
      </c>
      <c r="D49" s="38">
        <f>D50</f>
        <v>941.0999999999998</v>
      </c>
      <c r="E49" s="38">
        <f aca="true" t="shared" si="17" ref="E49:E50">E50</f>
        <v>941.1</v>
      </c>
    </row>
    <row r="50" spans="1:5" ht="31.5">
      <c r="A50" s="126" t="s">
        <v>319</v>
      </c>
      <c r="B50" s="128" t="s">
        <v>97</v>
      </c>
      <c r="C50" s="127" t="s">
        <v>98</v>
      </c>
      <c r="D50" s="38">
        <f>D51</f>
        <v>941.0999999999998</v>
      </c>
      <c r="E50" s="38">
        <f t="shared" si="17"/>
        <v>941.1</v>
      </c>
    </row>
    <row r="51" spans="1:5" ht="12.75">
      <c r="A51" s="126" t="s">
        <v>319</v>
      </c>
      <c r="B51" s="126">
        <v>610</v>
      </c>
      <c r="C51" s="127" t="s">
        <v>106</v>
      </c>
      <c r="D51" s="38">
        <f>'№ 7'!E393</f>
        <v>941.0999999999998</v>
      </c>
      <c r="E51" s="38">
        <f>'№ 7'!F393</f>
        <v>941.1</v>
      </c>
    </row>
    <row r="52" spans="1:5" ht="47.25">
      <c r="A52" s="239">
        <v>1110800000</v>
      </c>
      <c r="B52" s="239"/>
      <c r="C52" s="240" t="s">
        <v>427</v>
      </c>
      <c r="D52" s="215">
        <f>D53</f>
        <v>4843.4</v>
      </c>
      <c r="E52" s="215">
        <f aca="true" t="shared" si="18" ref="E52:E54">E53</f>
        <v>4448.5</v>
      </c>
    </row>
    <row r="53" spans="1:5" ht="47.25">
      <c r="A53" s="239">
        <v>1110853031</v>
      </c>
      <c r="B53" s="239"/>
      <c r="C53" s="219" t="s">
        <v>428</v>
      </c>
      <c r="D53" s="215">
        <f>D54</f>
        <v>4843.4</v>
      </c>
      <c r="E53" s="215">
        <f t="shared" si="18"/>
        <v>4448.5</v>
      </c>
    </row>
    <row r="54" spans="1:5" ht="31.5">
      <c r="A54" s="239">
        <v>1110853031</v>
      </c>
      <c r="B54" s="241" t="s">
        <v>97</v>
      </c>
      <c r="C54" s="240" t="s">
        <v>98</v>
      </c>
      <c r="D54" s="215">
        <f>D55</f>
        <v>4843.4</v>
      </c>
      <c r="E54" s="215">
        <f t="shared" si="18"/>
        <v>4448.5</v>
      </c>
    </row>
    <row r="55" spans="1:5" ht="12.75">
      <c r="A55" s="239">
        <v>1110853031</v>
      </c>
      <c r="B55" s="239">
        <v>610</v>
      </c>
      <c r="C55" s="240" t="s">
        <v>106</v>
      </c>
      <c r="D55" s="215">
        <f>'№ 7'!E397</f>
        <v>4843.4</v>
      </c>
      <c r="E55" s="215">
        <f>'№ 7'!F397</f>
        <v>4448.5</v>
      </c>
    </row>
    <row r="56" spans="1:5" ht="12.75">
      <c r="A56" s="42">
        <v>1120000000</v>
      </c>
      <c r="B56" s="42"/>
      <c r="C56" s="57" t="s">
        <v>124</v>
      </c>
      <c r="D56" s="38">
        <f>D57+D67</f>
        <v>38478.799999999996</v>
      </c>
      <c r="E56" s="38">
        <f aca="true" t="shared" si="19" ref="E56">E57+E67</f>
        <v>38478.799999999996</v>
      </c>
    </row>
    <row r="57" spans="1:5" ht="47.25">
      <c r="A57" s="42">
        <v>1120100000</v>
      </c>
      <c r="B57" s="42"/>
      <c r="C57" s="57" t="s">
        <v>125</v>
      </c>
      <c r="D57" s="38">
        <f>D61+D58+D64</f>
        <v>38263.799999999996</v>
      </c>
      <c r="E57" s="38">
        <f aca="true" t="shared" si="20" ref="E57">E61+E58+E64</f>
        <v>38263.799999999996</v>
      </c>
    </row>
    <row r="58" spans="1:5" ht="47.25">
      <c r="A58" s="101">
        <v>1120110690</v>
      </c>
      <c r="B58" s="101"/>
      <c r="C58" s="73" t="s">
        <v>298</v>
      </c>
      <c r="D58" s="38">
        <f>D59</f>
        <v>9268.599999999999</v>
      </c>
      <c r="E58" s="38">
        <f aca="true" t="shared" si="21" ref="E58:E59">E59</f>
        <v>9268.599999999999</v>
      </c>
    </row>
    <row r="59" spans="1:5" ht="31.5">
      <c r="A59" s="101">
        <v>1120110690</v>
      </c>
      <c r="B59" s="103" t="s">
        <v>97</v>
      </c>
      <c r="C59" s="73" t="s">
        <v>98</v>
      </c>
      <c r="D59" s="38">
        <f>D60</f>
        <v>9268.599999999999</v>
      </c>
      <c r="E59" s="38">
        <f t="shared" si="21"/>
        <v>9268.599999999999</v>
      </c>
    </row>
    <row r="60" spans="1:5" ht="12.75">
      <c r="A60" s="101">
        <v>1120110690</v>
      </c>
      <c r="B60" s="101">
        <v>610</v>
      </c>
      <c r="C60" s="73" t="s">
        <v>106</v>
      </c>
      <c r="D60" s="38">
        <f>'№ 7'!E428</f>
        <v>9268.599999999999</v>
      </c>
      <c r="E60" s="38">
        <f>'№ 7'!F428</f>
        <v>9268.599999999999</v>
      </c>
    </row>
    <row r="61" spans="1:5" ht="31.5">
      <c r="A61" s="42">
        <v>1120120010</v>
      </c>
      <c r="B61" s="42"/>
      <c r="C61" s="57" t="s">
        <v>126</v>
      </c>
      <c r="D61" s="38">
        <f>D62</f>
        <v>28902.5</v>
      </c>
      <c r="E61" s="38">
        <f aca="true" t="shared" si="22" ref="E61:E62">E62</f>
        <v>28902.5</v>
      </c>
    </row>
    <row r="62" spans="1:5" ht="31.5">
      <c r="A62" s="42">
        <v>1120120010</v>
      </c>
      <c r="B62" s="43" t="s">
        <v>97</v>
      </c>
      <c r="C62" s="57" t="s">
        <v>98</v>
      </c>
      <c r="D62" s="38">
        <f>D63</f>
        <v>28902.5</v>
      </c>
      <c r="E62" s="38">
        <f t="shared" si="22"/>
        <v>28902.5</v>
      </c>
    </row>
    <row r="63" spans="1:5" ht="12.75">
      <c r="A63" s="42">
        <v>1120120010</v>
      </c>
      <c r="B63" s="42">
        <v>610</v>
      </c>
      <c r="C63" s="57" t="s">
        <v>106</v>
      </c>
      <c r="D63" s="38">
        <f>'№ 7'!E431+'№ 7'!E402</f>
        <v>28902.5</v>
      </c>
      <c r="E63" s="38">
        <f>'№ 7'!F431+'№ 7'!F402</f>
        <v>28902.5</v>
      </c>
    </row>
    <row r="64" spans="1:5" ht="47.25">
      <c r="A64" s="105" t="s">
        <v>309</v>
      </c>
      <c r="B64" s="105"/>
      <c r="C64" s="73" t="s">
        <v>310</v>
      </c>
      <c r="D64" s="38">
        <f>D65</f>
        <v>92.69999999999999</v>
      </c>
      <c r="E64" s="38">
        <f aca="true" t="shared" si="23" ref="E64:E65">E65</f>
        <v>92.69999999999999</v>
      </c>
    </row>
    <row r="65" spans="1:5" ht="31.5">
      <c r="A65" s="105" t="s">
        <v>309</v>
      </c>
      <c r="B65" s="107" t="s">
        <v>97</v>
      </c>
      <c r="C65" s="73" t="s">
        <v>98</v>
      </c>
      <c r="D65" s="38">
        <f>D66</f>
        <v>92.69999999999999</v>
      </c>
      <c r="E65" s="38">
        <f t="shared" si="23"/>
        <v>92.69999999999999</v>
      </c>
    </row>
    <row r="66" spans="1:5" ht="12.75">
      <c r="A66" s="105" t="s">
        <v>309</v>
      </c>
      <c r="B66" s="105">
        <v>610</v>
      </c>
      <c r="C66" s="73" t="s">
        <v>106</v>
      </c>
      <c r="D66" s="38">
        <f>'№ 7'!E434</f>
        <v>92.69999999999999</v>
      </c>
      <c r="E66" s="38">
        <f>'№ 7'!F434</f>
        <v>92.69999999999999</v>
      </c>
    </row>
    <row r="67" spans="1:5" ht="63">
      <c r="A67" s="132">
        <v>1120300000</v>
      </c>
      <c r="B67" s="132"/>
      <c r="C67" s="73" t="s">
        <v>324</v>
      </c>
      <c r="D67" s="38">
        <f>D68</f>
        <v>215</v>
      </c>
      <c r="E67" s="38">
        <f aca="true" t="shared" si="24" ref="E67:E69">E68</f>
        <v>215</v>
      </c>
    </row>
    <row r="68" spans="1:5" ht="31.5">
      <c r="A68" s="132">
        <v>1120320020</v>
      </c>
      <c r="B68" s="132"/>
      <c r="C68" s="73" t="s">
        <v>321</v>
      </c>
      <c r="D68" s="38">
        <f>D69</f>
        <v>215</v>
      </c>
      <c r="E68" s="38">
        <f t="shared" si="24"/>
        <v>215</v>
      </c>
    </row>
    <row r="69" spans="1:5" ht="31.5">
      <c r="A69" s="132">
        <v>1120320020</v>
      </c>
      <c r="B69" s="134" t="s">
        <v>97</v>
      </c>
      <c r="C69" s="73" t="s">
        <v>98</v>
      </c>
      <c r="D69" s="38">
        <f>D70</f>
        <v>215</v>
      </c>
      <c r="E69" s="38">
        <f t="shared" si="24"/>
        <v>215</v>
      </c>
    </row>
    <row r="70" spans="1:5" ht="12.75">
      <c r="A70" s="132">
        <v>1120320020</v>
      </c>
      <c r="B70" s="132">
        <v>610</v>
      </c>
      <c r="C70" s="73" t="s">
        <v>106</v>
      </c>
      <c r="D70" s="38">
        <f>'№ 7'!E438</f>
        <v>215</v>
      </c>
      <c r="E70" s="38">
        <f>'№ 7'!F438</f>
        <v>215</v>
      </c>
    </row>
    <row r="71" spans="1:5" ht="31.5">
      <c r="A71" s="43">
        <v>1130000000</v>
      </c>
      <c r="B71" s="25"/>
      <c r="C71" s="63" t="s">
        <v>117</v>
      </c>
      <c r="D71" s="38">
        <f>D72+D79+D83+D87+D91</f>
        <v>869.5999999999999</v>
      </c>
      <c r="E71" s="38">
        <f>E72+E79+E83+E87+E91</f>
        <v>702.9</v>
      </c>
    </row>
    <row r="72" spans="1:5" ht="31.5">
      <c r="A72" s="42">
        <v>1130100000</v>
      </c>
      <c r="B72" s="25"/>
      <c r="C72" s="63" t="s">
        <v>240</v>
      </c>
      <c r="D72" s="38">
        <f>D73+D76</f>
        <v>231.9</v>
      </c>
      <c r="E72" s="38">
        <f>E73+E76</f>
        <v>110.6</v>
      </c>
    </row>
    <row r="73" spans="1:5" ht="31.5">
      <c r="A73" s="43">
        <v>1130120260</v>
      </c>
      <c r="B73" s="25"/>
      <c r="C73" s="63" t="s">
        <v>241</v>
      </c>
      <c r="D73" s="38">
        <f>D74</f>
        <v>110.60000000000001</v>
      </c>
      <c r="E73" s="38">
        <f>E74</f>
        <v>110.6</v>
      </c>
    </row>
    <row r="74" spans="1:5" ht="31.5">
      <c r="A74" s="43">
        <v>1130120260</v>
      </c>
      <c r="B74" s="42" t="s">
        <v>72</v>
      </c>
      <c r="C74" s="63" t="s">
        <v>95</v>
      </c>
      <c r="D74" s="38">
        <f>D75</f>
        <v>110.60000000000001</v>
      </c>
      <c r="E74" s="38">
        <f aca="true" t="shared" si="25" ref="E74">E75</f>
        <v>110.6</v>
      </c>
    </row>
    <row r="75" spans="1:5" ht="31.5">
      <c r="A75" s="43">
        <v>1130120260</v>
      </c>
      <c r="B75" s="42">
        <v>240</v>
      </c>
      <c r="C75" s="63" t="s">
        <v>257</v>
      </c>
      <c r="D75" s="38">
        <f>'№ 7'!E488</f>
        <v>110.60000000000001</v>
      </c>
      <c r="E75" s="38">
        <f>'№ 7'!F488</f>
        <v>110.6</v>
      </c>
    </row>
    <row r="76" spans="1:5" ht="31.5">
      <c r="A76" s="103">
        <v>1130111080</v>
      </c>
      <c r="B76" s="101"/>
      <c r="C76" s="102" t="s">
        <v>306</v>
      </c>
      <c r="D76" s="38">
        <f>D77</f>
        <v>121.3</v>
      </c>
      <c r="E76" s="38">
        <f aca="true" t="shared" si="26" ref="E76:E77">E77</f>
        <v>0</v>
      </c>
    </row>
    <row r="77" spans="1:5" ht="31.5">
      <c r="A77" s="103">
        <v>1130111080</v>
      </c>
      <c r="B77" s="103" t="s">
        <v>97</v>
      </c>
      <c r="C77" s="102" t="s">
        <v>98</v>
      </c>
      <c r="D77" s="38">
        <f>D78</f>
        <v>121.3</v>
      </c>
      <c r="E77" s="38">
        <f t="shared" si="26"/>
        <v>0</v>
      </c>
    </row>
    <row r="78" spans="1:5" ht="12.75">
      <c r="A78" s="103">
        <v>1130111080</v>
      </c>
      <c r="B78" s="101">
        <v>610</v>
      </c>
      <c r="C78" s="102" t="s">
        <v>106</v>
      </c>
      <c r="D78" s="38">
        <f>'№ 7'!E407</f>
        <v>121.3</v>
      </c>
      <c r="E78" s="38">
        <f>'№ 7'!F407</f>
        <v>0</v>
      </c>
    </row>
    <row r="79" spans="1:5" ht="31.5">
      <c r="A79" s="42">
        <v>1130200000</v>
      </c>
      <c r="B79" s="42"/>
      <c r="C79" s="63" t="s">
        <v>194</v>
      </c>
      <c r="D79" s="38">
        <f>D80</f>
        <v>84.1</v>
      </c>
      <c r="E79" s="38">
        <f aca="true" t="shared" si="27" ref="E79:E80">E80</f>
        <v>84</v>
      </c>
    </row>
    <row r="80" spans="1:5" ht="31.5">
      <c r="A80" s="42">
        <v>1130220270</v>
      </c>
      <c r="B80" s="42"/>
      <c r="C80" s="63" t="s">
        <v>195</v>
      </c>
      <c r="D80" s="38">
        <f>D81</f>
        <v>84.1</v>
      </c>
      <c r="E80" s="38">
        <f t="shared" si="27"/>
        <v>84</v>
      </c>
    </row>
    <row r="81" spans="1:5" ht="31.5">
      <c r="A81" s="42">
        <v>1130220270</v>
      </c>
      <c r="B81" s="42" t="s">
        <v>72</v>
      </c>
      <c r="C81" s="63" t="s">
        <v>95</v>
      </c>
      <c r="D81" s="38">
        <f>D82</f>
        <v>84.1</v>
      </c>
      <c r="E81" s="38">
        <f aca="true" t="shared" si="28" ref="E81">E82</f>
        <v>84</v>
      </c>
    </row>
    <row r="82" spans="1:5" ht="31.5">
      <c r="A82" s="42">
        <v>1130220270</v>
      </c>
      <c r="B82" s="42">
        <v>240</v>
      </c>
      <c r="C82" s="63" t="s">
        <v>257</v>
      </c>
      <c r="D82" s="38">
        <f>'№ 7'!E492+'№ 7'!E468</f>
        <v>84.1</v>
      </c>
      <c r="E82" s="38">
        <f>'№ 7'!F492+'№ 7'!F468</f>
        <v>84</v>
      </c>
    </row>
    <row r="83" spans="1:5" ht="47.25">
      <c r="A83" s="43">
        <v>1130300000</v>
      </c>
      <c r="B83" s="25"/>
      <c r="C83" s="63" t="s">
        <v>118</v>
      </c>
      <c r="D83" s="38">
        <f>D84</f>
        <v>475.8</v>
      </c>
      <c r="E83" s="38">
        <f aca="true" t="shared" si="29" ref="E83:E85">E84</f>
        <v>475.8</v>
      </c>
    </row>
    <row r="84" spans="1:5" ht="31.5">
      <c r="A84" s="43">
        <v>1130320280</v>
      </c>
      <c r="B84" s="25"/>
      <c r="C84" s="63" t="s">
        <v>119</v>
      </c>
      <c r="D84" s="38">
        <f>D85</f>
        <v>475.8</v>
      </c>
      <c r="E84" s="38">
        <f t="shared" si="29"/>
        <v>475.8</v>
      </c>
    </row>
    <row r="85" spans="1:5" ht="31.5">
      <c r="A85" s="43">
        <v>1130320280</v>
      </c>
      <c r="B85" s="43" t="s">
        <v>97</v>
      </c>
      <c r="C85" s="57" t="s">
        <v>98</v>
      </c>
      <c r="D85" s="38">
        <f>D86</f>
        <v>475.8</v>
      </c>
      <c r="E85" s="38">
        <f t="shared" si="29"/>
        <v>475.8</v>
      </c>
    </row>
    <row r="86" spans="1:5" ht="12.75">
      <c r="A86" s="43">
        <v>1130320280</v>
      </c>
      <c r="B86" s="42">
        <v>610</v>
      </c>
      <c r="C86" s="57" t="s">
        <v>106</v>
      </c>
      <c r="D86" s="38">
        <f>'№ 7'!E185</f>
        <v>475.8</v>
      </c>
      <c r="E86" s="38">
        <f>'№ 7'!F185</f>
        <v>475.8</v>
      </c>
    </row>
    <row r="87" spans="1:5" ht="31.5">
      <c r="A87" s="42">
        <v>1130400000</v>
      </c>
      <c r="B87" s="42"/>
      <c r="C87" s="63" t="s">
        <v>148</v>
      </c>
      <c r="D87" s="38">
        <f>D88</f>
        <v>69.8</v>
      </c>
      <c r="E87" s="38">
        <f aca="true" t="shared" si="30" ref="E87:E89">E88</f>
        <v>24.5</v>
      </c>
    </row>
    <row r="88" spans="1:5" ht="31.5">
      <c r="A88" s="42">
        <v>1130420290</v>
      </c>
      <c r="B88" s="42"/>
      <c r="C88" s="63" t="s">
        <v>149</v>
      </c>
      <c r="D88" s="38">
        <f>D89</f>
        <v>69.8</v>
      </c>
      <c r="E88" s="38">
        <f t="shared" si="30"/>
        <v>24.5</v>
      </c>
    </row>
    <row r="89" spans="1:5" ht="31.5">
      <c r="A89" s="42">
        <v>1130420290</v>
      </c>
      <c r="B89" s="76" t="s">
        <v>72</v>
      </c>
      <c r="C89" s="75" t="s">
        <v>95</v>
      </c>
      <c r="D89" s="38">
        <f>D90</f>
        <v>69.8</v>
      </c>
      <c r="E89" s="38">
        <f t="shared" si="30"/>
        <v>24.5</v>
      </c>
    </row>
    <row r="90" spans="1:5" ht="31.5">
      <c r="A90" s="42">
        <v>1130420290</v>
      </c>
      <c r="B90" s="74">
        <v>240</v>
      </c>
      <c r="C90" s="75" t="s">
        <v>257</v>
      </c>
      <c r="D90" s="38">
        <f>'№ 7'!E472</f>
        <v>69.8</v>
      </c>
      <c r="E90" s="38">
        <f>'№ 7'!F472</f>
        <v>24.5</v>
      </c>
    </row>
    <row r="91" spans="1:5" ht="31.5">
      <c r="A91" s="232">
        <v>1130500000</v>
      </c>
      <c r="B91" s="232"/>
      <c r="C91" s="73" t="s">
        <v>422</v>
      </c>
      <c r="D91" s="38">
        <f>D92</f>
        <v>8</v>
      </c>
      <c r="E91" s="38">
        <f aca="true" t="shared" si="31" ref="E91:E93">E92</f>
        <v>8</v>
      </c>
    </row>
    <row r="92" spans="1:5" ht="31.5">
      <c r="A92" s="232">
        <v>1130520300</v>
      </c>
      <c r="B92" s="232"/>
      <c r="C92" s="73" t="s">
        <v>423</v>
      </c>
      <c r="D92" s="38">
        <f>D93</f>
        <v>8</v>
      </c>
      <c r="E92" s="38">
        <f t="shared" si="31"/>
        <v>8</v>
      </c>
    </row>
    <row r="93" spans="1:5" ht="31.5">
      <c r="A93" s="232">
        <v>1130520300</v>
      </c>
      <c r="B93" s="234" t="s">
        <v>72</v>
      </c>
      <c r="C93" s="233" t="s">
        <v>95</v>
      </c>
      <c r="D93" s="38">
        <f>D94</f>
        <v>8</v>
      </c>
      <c r="E93" s="38">
        <f t="shared" si="31"/>
        <v>8</v>
      </c>
    </row>
    <row r="94" spans="1:5" ht="31.5">
      <c r="A94" s="232">
        <v>1130520300</v>
      </c>
      <c r="B94" s="232">
        <v>240</v>
      </c>
      <c r="C94" s="233" t="s">
        <v>257</v>
      </c>
      <c r="D94" s="38">
        <f>'№ 7'!E443</f>
        <v>8</v>
      </c>
      <c r="E94" s="38">
        <f>'№ 7'!F443</f>
        <v>8</v>
      </c>
    </row>
    <row r="95" spans="1:10" s="35" customFormat="1" ht="47.25">
      <c r="A95" s="29">
        <v>1200000000</v>
      </c>
      <c r="B95" s="16"/>
      <c r="C95" s="66" t="s">
        <v>197</v>
      </c>
      <c r="D95" s="37">
        <f>D96+D111+D130+D164+D216+D233</f>
        <v>207830.00000000003</v>
      </c>
      <c r="E95" s="37">
        <f>E96+E111+E130+E164+E216+E233</f>
        <v>196749.30000000002</v>
      </c>
      <c r="G95" s="202"/>
      <c r="H95" s="202"/>
      <c r="I95" s="202"/>
      <c r="J95" s="202"/>
    </row>
    <row r="96" spans="1:5" ht="12.75">
      <c r="A96" s="43">
        <v>1210000000</v>
      </c>
      <c r="B96" s="42"/>
      <c r="C96" s="57" t="s">
        <v>211</v>
      </c>
      <c r="D96" s="40">
        <f>D97+D107</f>
        <v>14231.100000000002</v>
      </c>
      <c r="E96" s="40">
        <f>E97+E107</f>
        <v>14231.099999999999</v>
      </c>
    </row>
    <row r="97" spans="1:5" ht="31.5">
      <c r="A97" s="43">
        <v>1210100000</v>
      </c>
      <c r="B97" s="42"/>
      <c r="C97" s="57" t="s">
        <v>212</v>
      </c>
      <c r="D97" s="38">
        <f>D101+D98+D104</f>
        <v>14151.100000000002</v>
      </c>
      <c r="E97" s="38">
        <f aca="true" t="shared" si="32" ref="E97">E101+E98+E104</f>
        <v>14151.099999999999</v>
      </c>
    </row>
    <row r="98" spans="1:5" ht="47.25">
      <c r="A98" s="103">
        <v>1210110680</v>
      </c>
      <c r="B98" s="101"/>
      <c r="C98" s="93" t="s">
        <v>299</v>
      </c>
      <c r="D98" s="38">
        <f>D99</f>
        <v>4599.3</v>
      </c>
      <c r="E98" s="38">
        <f aca="true" t="shared" si="33" ref="E98:E99">E99</f>
        <v>4599.3</v>
      </c>
    </row>
    <row r="99" spans="1:5" ht="31.5">
      <c r="A99" s="103">
        <v>1210110680</v>
      </c>
      <c r="B99" s="103" t="s">
        <v>97</v>
      </c>
      <c r="C99" s="73" t="s">
        <v>98</v>
      </c>
      <c r="D99" s="38">
        <f>D100</f>
        <v>4599.3</v>
      </c>
      <c r="E99" s="38">
        <f t="shared" si="33"/>
        <v>4599.3</v>
      </c>
    </row>
    <row r="100" spans="1:5" ht="12.75">
      <c r="A100" s="103">
        <v>1210110680</v>
      </c>
      <c r="B100" s="101">
        <v>610</v>
      </c>
      <c r="C100" s="73" t="s">
        <v>106</v>
      </c>
      <c r="D100" s="38">
        <f>'№ 7'!E508</f>
        <v>4599.3</v>
      </c>
      <c r="E100" s="38">
        <f>'№ 7'!F508</f>
        <v>4599.3</v>
      </c>
    </row>
    <row r="101" spans="1:5" ht="31.5">
      <c r="A101" s="43">
        <v>1210120010</v>
      </c>
      <c r="B101" s="42"/>
      <c r="C101" s="57" t="s">
        <v>126</v>
      </c>
      <c r="D101" s="38">
        <f>D102</f>
        <v>9505.300000000001</v>
      </c>
      <c r="E101" s="38">
        <f aca="true" t="shared" si="34" ref="E101:E102">E102</f>
        <v>9505.3</v>
      </c>
    </row>
    <row r="102" spans="1:5" ht="31.5">
      <c r="A102" s="43">
        <v>1210120010</v>
      </c>
      <c r="B102" s="43" t="s">
        <v>97</v>
      </c>
      <c r="C102" s="57" t="s">
        <v>98</v>
      </c>
      <c r="D102" s="38">
        <f>D103</f>
        <v>9505.300000000001</v>
      </c>
      <c r="E102" s="38">
        <f t="shared" si="34"/>
        <v>9505.3</v>
      </c>
    </row>
    <row r="103" spans="1:5" ht="12.75">
      <c r="A103" s="43">
        <v>1210120010</v>
      </c>
      <c r="B103" s="42">
        <v>610</v>
      </c>
      <c r="C103" s="57" t="s">
        <v>106</v>
      </c>
      <c r="D103" s="38">
        <f>'№ 7'!E511</f>
        <v>9505.300000000001</v>
      </c>
      <c r="E103" s="38">
        <f>'№ 7'!F511</f>
        <v>9505.3</v>
      </c>
    </row>
    <row r="104" spans="1:5" ht="29.25" customHeight="1">
      <c r="A104" s="107" t="s">
        <v>311</v>
      </c>
      <c r="B104" s="105"/>
      <c r="C104" s="93" t="s">
        <v>312</v>
      </c>
      <c r="D104" s="38">
        <f>D105</f>
        <v>46.5</v>
      </c>
      <c r="E104" s="38">
        <f aca="true" t="shared" si="35" ref="E104:E105">E105</f>
        <v>46.5</v>
      </c>
    </row>
    <row r="105" spans="1:5" ht="31.5">
      <c r="A105" s="107" t="s">
        <v>311</v>
      </c>
      <c r="B105" s="107" t="s">
        <v>97</v>
      </c>
      <c r="C105" s="73" t="s">
        <v>98</v>
      </c>
      <c r="D105" s="38">
        <f>D106</f>
        <v>46.5</v>
      </c>
      <c r="E105" s="38">
        <f t="shared" si="35"/>
        <v>46.5</v>
      </c>
    </row>
    <row r="106" spans="1:5" ht="12.75">
      <c r="A106" s="107" t="s">
        <v>311</v>
      </c>
      <c r="B106" s="105">
        <v>610</v>
      </c>
      <c r="C106" s="73" t="s">
        <v>106</v>
      </c>
      <c r="D106" s="38">
        <f>'№ 7'!E514</f>
        <v>46.5</v>
      </c>
      <c r="E106" s="38">
        <f>'№ 7'!F514</f>
        <v>46.5</v>
      </c>
    </row>
    <row r="107" spans="1:5" ht="31.5">
      <c r="A107" s="70">
        <v>1210300000</v>
      </c>
      <c r="B107" s="68"/>
      <c r="C107" s="69" t="s">
        <v>213</v>
      </c>
      <c r="D107" s="38">
        <f>D108</f>
        <v>80</v>
      </c>
      <c r="E107" s="38">
        <f aca="true" t="shared" si="36" ref="E107">E108</f>
        <v>80</v>
      </c>
    </row>
    <row r="108" spans="1:5" ht="12.75">
      <c r="A108" s="252">
        <v>1210320010</v>
      </c>
      <c r="B108" s="252"/>
      <c r="C108" s="63" t="s">
        <v>254</v>
      </c>
      <c r="D108" s="38">
        <f>D109</f>
        <v>80</v>
      </c>
      <c r="E108" s="38">
        <f aca="true" t="shared" si="37" ref="E108:E109">E109</f>
        <v>80</v>
      </c>
    </row>
    <row r="109" spans="1:5" ht="31.5">
      <c r="A109" s="252">
        <v>1210320010</v>
      </c>
      <c r="B109" s="254" t="s">
        <v>97</v>
      </c>
      <c r="C109" s="253" t="s">
        <v>98</v>
      </c>
      <c r="D109" s="38">
        <f>D110</f>
        <v>80</v>
      </c>
      <c r="E109" s="38">
        <f t="shared" si="37"/>
        <v>80</v>
      </c>
    </row>
    <row r="110" spans="1:5" ht="12.75">
      <c r="A110" s="252">
        <v>1210320010</v>
      </c>
      <c r="B110" s="252">
        <v>610</v>
      </c>
      <c r="C110" s="253" t="s">
        <v>106</v>
      </c>
      <c r="D110" s="38">
        <f>'№ 7'!E518</f>
        <v>80</v>
      </c>
      <c r="E110" s="38">
        <f>'№ 7'!F518</f>
        <v>80</v>
      </c>
    </row>
    <row r="111" spans="1:5" ht="31.5">
      <c r="A111" s="43">
        <v>1220000000</v>
      </c>
      <c r="B111" s="42"/>
      <c r="C111" s="57" t="s">
        <v>150</v>
      </c>
      <c r="D111" s="38">
        <f>D112+D122+D126</f>
        <v>27063.899999999998</v>
      </c>
      <c r="E111" s="38">
        <f aca="true" t="shared" si="38" ref="E111">E112+E122+E126</f>
        <v>27063.899999999998</v>
      </c>
    </row>
    <row r="112" spans="1:5" ht="31.5">
      <c r="A112" s="42">
        <v>1220100000</v>
      </c>
      <c r="B112" s="42"/>
      <c r="C112" s="57" t="s">
        <v>214</v>
      </c>
      <c r="D112" s="38">
        <f>D116+D113+D119</f>
        <v>25749.399999999998</v>
      </c>
      <c r="E112" s="38">
        <f aca="true" t="shared" si="39" ref="E112">E116+E113+E119</f>
        <v>25749.399999999998</v>
      </c>
    </row>
    <row r="113" spans="1:5" ht="47.25">
      <c r="A113" s="101">
        <v>1220110680</v>
      </c>
      <c r="B113" s="101"/>
      <c r="C113" s="93" t="s">
        <v>299</v>
      </c>
      <c r="D113" s="38">
        <f>D114</f>
        <v>8393.8</v>
      </c>
      <c r="E113" s="38">
        <f aca="true" t="shared" si="40" ref="E113:E114">E114</f>
        <v>8393.8</v>
      </c>
    </row>
    <row r="114" spans="1:5" ht="31.5">
      <c r="A114" s="101">
        <v>1220110680</v>
      </c>
      <c r="B114" s="103" t="s">
        <v>97</v>
      </c>
      <c r="C114" s="73" t="s">
        <v>98</v>
      </c>
      <c r="D114" s="38">
        <f>D115</f>
        <v>8393.8</v>
      </c>
      <c r="E114" s="38">
        <f t="shared" si="40"/>
        <v>8393.8</v>
      </c>
    </row>
    <row r="115" spans="1:5" ht="12.75">
      <c r="A115" s="101">
        <v>1220110680</v>
      </c>
      <c r="B115" s="101">
        <v>610</v>
      </c>
      <c r="C115" s="73" t="s">
        <v>106</v>
      </c>
      <c r="D115" s="38">
        <f>'№ 7'!E523</f>
        <v>8393.8</v>
      </c>
      <c r="E115" s="38">
        <f>'№ 7'!F523</f>
        <v>8393.8</v>
      </c>
    </row>
    <row r="116" spans="1:5" ht="31.5">
      <c r="A116" s="42">
        <v>1220120010</v>
      </c>
      <c r="B116" s="42"/>
      <c r="C116" s="57" t="s">
        <v>126</v>
      </c>
      <c r="D116" s="38">
        <f>D117</f>
        <v>17270.8</v>
      </c>
      <c r="E116" s="38">
        <f aca="true" t="shared" si="41" ref="E116:E117">E117</f>
        <v>17270.8</v>
      </c>
    </row>
    <row r="117" spans="1:5" ht="31.5">
      <c r="A117" s="42">
        <v>1220120010</v>
      </c>
      <c r="B117" s="43" t="s">
        <v>97</v>
      </c>
      <c r="C117" s="57" t="s">
        <v>98</v>
      </c>
      <c r="D117" s="38">
        <f>D118</f>
        <v>17270.8</v>
      </c>
      <c r="E117" s="38">
        <f t="shared" si="41"/>
        <v>17270.8</v>
      </c>
    </row>
    <row r="118" spans="1:5" ht="12.75">
      <c r="A118" s="42">
        <v>1220120010</v>
      </c>
      <c r="B118" s="42">
        <v>610</v>
      </c>
      <c r="C118" s="57" t="s">
        <v>106</v>
      </c>
      <c r="D118" s="38">
        <f>'№ 7'!E526</f>
        <v>17270.8</v>
      </c>
      <c r="E118" s="38">
        <f>'№ 7'!F526</f>
        <v>17270.8</v>
      </c>
    </row>
    <row r="119" spans="1:5" ht="30.75" customHeight="1">
      <c r="A119" s="105" t="s">
        <v>313</v>
      </c>
      <c r="B119" s="105"/>
      <c r="C119" s="93" t="s">
        <v>312</v>
      </c>
      <c r="D119" s="38">
        <f>D120</f>
        <v>84.8</v>
      </c>
      <c r="E119" s="38">
        <f aca="true" t="shared" si="42" ref="E119:E120">E120</f>
        <v>84.8</v>
      </c>
    </row>
    <row r="120" spans="1:5" ht="31.5">
      <c r="A120" s="105" t="s">
        <v>313</v>
      </c>
      <c r="B120" s="107" t="s">
        <v>97</v>
      </c>
      <c r="C120" s="73" t="s">
        <v>98</v>
      </c>
      <c r="D120" s="38">
        <f>D121</f>
        <v>84.8</v>
      </c>
      <c r="E120" s="38">
        <f t="shared" si="42"/>
        <v>84.8</v>
      </c>
    </row>
    <row r="121" spans="1:5" ht="12.75">
      <c r="A121" s="105" t="s">
        <v>313</v>
      </c>
      <c r="B121" s="105">
        <v>610</v>
      </c>
      <c r="C121" s="73" t="s">
        <v>106</v>
      </c>
      <c r="D121" s="38">
        <f>'№ 7'!E529</f>
        <v>84.8</v>
      </c>
      <c r="E121" s="38">
        <f>'№ 7'!F529</f>
        <v>84.8</v>
      </c>
    </row>
    <row r="122" spans="1:5" ht="31.5">
      <c r="A122" s="42">
        <v>1220500000</v>
      </c>
      <c r="B122" s="42"/>
      <c r="C122" s="71" t="s">
        <v>215</v>
      </c>
      <c r="D122" s="38">
        <f>D123</f>
        <v>1100.3000000000002</v>
      </c>
      <c r="E122" s="38">
        <f aca="true" t="shared" si="43" ref="E122:E124">E123</f>
        <v>1100.3</v>
      </c>
    </row>
    <row r="123" spans="1:5" ht="12.75">
      <c r="A123" s="42">
        <v>1220520320</v>
      </c>
      <c r="B123" s="42"/>
      <c r="C123" s="57" t="s">
        <v>151</v>
      </c>
      <c r="D123" s="38">
        <f>D124</f>
        <v>1100.3000000000002</v>
      </c>
      <c r="E123" s="38">
        <f t="shared" si="43"/>
        <v>1100.3</v>
      </c>
    </row>
    <row r="124" spans="1:5" ht="31.5">
      <c r="A124" s="42">
        <v>1220520320</v>
      </c>
      <c r="B124" s="43" t="s">
        <v>97</v>
      </c>
      <c r="C124" s="57" t="s">
        <v>98</v>
      </c>
      <c r="D124" s="38">
        <f>D125</f>
        <v>1100.3000000000002</v>
      </c>
      <c r="E124" s="38">
        <f t="shared" si="43"/>
        <v>1100.3</v>
      </c>
    </row>
    <row r="125" spans="1:5" ht="12.75">
      <c r="A125" s="42">
        <v>1220520320</v>
      </c>
      <c r="B125" s="42">
        <v>610</v>
      </c>
      <c r="C125" s="57" t="s">
        <v>106</v>
      </c>
      <c r="D125" s="38">
        <f>'№ 7'!E533</f>
        <v>1100.3000000000002</v>
      </c>
      <c r="E125" s="38">
        <f>'№ 7'!F533</f>
        <v>1100.3</v>
      </c>
    </row>
    <row r="126" spans="1:5" ht="47.25">
      <c r="A126" s="232">
        <v>1220600000</v>
      </c>
      <c r="B126" s="232"/>
      <c r="C126" s="233" t="s">
        <v>421</v>
      </c>
      <c r="D126" s="38">
        <f>D127</f>
        <v>214.2</v>
      </c>
      <c r="E126" s="38">
        <f aca="true" t="shared" si="44" ref="E126:E128">E127</f>
        <v>214.2</v>
      </c>
    </row>
    <row r="127" spans="1:5" ht="31.5">
      <c r="A127" s="232">
        <v>1220620020</v>
      </c>
      <c r="B127" s="232"/>
      <c r="C127" s="233" t="s">
        <v>321</v>
      </c>
      <c r="D127" s="38">
        <f>D128</f>
        <v>214.2</v>
      </c>
      <c r="E127" s="38">
        <f t="shared" si="44"/>
        <v>214.2</v>
      </c>
    </row>
    <row r="128" spans="1:5" ht="31.5">
      <c r="A128" s="232">
        <v>1220620020</v>
      </c>
      <c r="B128" s="234" t="s">
        <v>97</v>
      </c>
      <c r="C128" s="73" t="s">
        <v>98</v>
      </c>
      <c r="D128" s="38">
        <f>D129</f>
        <v>214.2</v>
      </c>
      <c r="E128" s="38">
        <f t="shared" si="44"/>
        <v>214.2</v>
      </c>
    </row>
    <row r="129" spans="1:5" ht="12.75">
      <c r="A129" s="232">
        <v>1220620020</v>
      </c>
      <c r="B129" s="234">
        <v>610</v>
      </c>
      <c r="C129" s="73" t="s">
        <v>106</v>
      </c>
      <c r="D129" s="38">
        <f>'№ 7'!E537</f>
        <v>214.2</v>
      </c>
      <c r="E129" s="38">
        <f>'№ 7'!F537</f>
        <v>214.2</v>
      </c>
    </row>
    <row r="130" spans="1:5" ht="12.75">
      <c r="A130" s="42">
        <v>1230000000</v>
      </c>
      <c r="B130" s="42"/>
      <c r="C130" s="57" t="s">
        <v>220</v>
      </c>
      <c r="D130" s="38">
        <f>D131+D135+D139+D154</f>
        <v>15091.900000000001</v>
      </c>
      <c r="E130" s="38">
        <f aca="true" t="shared" si="45" ref="E130">E131+E135+E139+E154</f>
        <v>15077.8</v>
      </c>
    </row>
    <row r="131" spans="1:5" ht="31.5">
      <c r="A131" s="42">
        <v>1230100000</v>
      </c>
      <c r="B131" s="42"/>
      <c r="C131" s="57" t="s">
        <v>221</v>
      </c>
      <c r="D131" s="38">
        <f>D132</f>
        <v>10855.000000000002</v>
      </c>
      <c r="E131" s="38">
        <f aca="true" t="shared" si="46" ref="E131">E132</f>
        <v>10855</v>
      </c>
    </row>
    <row r="132" spans="1:5" ht="31.5">
      <c r="A132" s="42">
        <v>1230120010</v>
      </c>
      <c r="B132" s="42"/>
      <c r="C132" s="57" t="s">
        <v>126</v>
      </c>
      <c r="D132" s="38">
        <f>D133</f>
        <v>10855.000000000002</v>
      </c>
      <c r="E132" s="38">
        <f aca="true" t="shared" si="47" ref="E132:E133">E133</f>
        <v>10855</v>
      </c>
    </row>
    <row r="133" spans="1:5" ht="31.5">
      <c r="A133" s="42">
        <v>1230120010</v>
      </c>
      <c r="B133" s="43" t="s">
        <v>97</v>
      </c>
      <c r="C133" s="57" t="s">
        <v>98</v>
      </c>
      <c r="D133" s="38">
        <f>D134</f>
        <v>10855.000000000002</v>
      </c>
      <c r="E133" s="38">
        <f t="shared" si="47"/>
        <v>10855</v>
      </c>
    </row>
    <row r="134" spans="1:5" ht="12.75">
      <c r="A134" s="42">
        <v>1230120010</v>
      </c>
      <c r="B134" s="42">
        <v>610</v>
      </c>
      <c r="C134" s="57" t="s">
        <v>106</v>
      </c>
      <c r="D134" s="38">
        <f>'№ 7'!E597</f>
        <v>10855.000000000002</v>
      </c>
      <c r="E134" s="38">
        <f>'№ 7'!F597</f>
        <v>10855</v>
      </c>
    </row>
    <row r="135" spans="1:5" ht="51.6" customHeight="1">
      <c r="A135" s="42">
        <v>1230200000</v>
      </c>
      <c r="B135" s="42"/>
      <c r="C135" s="57" t="s">
        <v>222</v>
      </c>
      <c r="D135" s="38">
        <f>D136</f>
        <v>186.70000000000002</v>
      </c>
      <c r="E135" s="38">
        <f aca="true" t="shared" si="48" ref="E135:E137">E136</f>
        <v>186.7</v>
      </c>
    </row>
    <row r="136" spans="1:5" ht="12.75">
      <c r="A136" s="42">
        <v>1230220040</v>
      </c>
      <c r="B136" s="42"/>
      <c r="C136" s="57" t="s">
        <v>223</v>
      </c>
      <c r="D136" s="38">
        <f>D137</f>
        <v>186.70000000000002</v>
      </c>
      <c r="E136" s="38">
        <f t="shared" si="48"/>
        <v>186.7</v>
      </c>
    </row>
    <row r="137" spans="1:5" ht="31.5">
      <c r="A137" s="42">
        <v>1230220040</v>
      </c>
      <c r="B137" s="43" t="s">
        <v>97</v>
      </c>
      <c r="C137" s="57" t="s">
        <v>98</v>
      </c>
      <c r="D137" s="38">
        <f>D138</f>
        <v>186.70000000000002</v>
      </c>
      <c r="E137" s="38">
        <f t="shared" si="48"/>
        <v>186.7</v>
      </c>
    </row>
    <row r="138" spans="1:5" ht="12.75">
      <c r="A138" s="42">
        <v>1230220040</v>
      </c>
      <c r="B138" s="42">
        <v>610</v>
      </c>
      <c r="C138" s="57" t="s">
        <v>106</v>
      </c>
      <c r="D138" s="38">
        <f>'№ 7'!E601</f>
        <v>186.70000000000002</v>
      </c>
      <c r="E138" s="38">
        <f>'№ 7'!F601</f>
        <v>186.7</v>
      </c>
    </row>
    <row r="139" spans="1:5" ht="31.5">
      <c r="A139" s="42">
        <v>1230600000</v>
      </c>
      <c r="B139" s="42"/>
      <c r="C139" s="57" t="s">
        <v>224</v>
      </c>
      <c r="D139" s="38">
        <f>D140+D147</f>
        <v>808.5</v>
      </c>
      <c r="E139" s="38">
        <f>E140+E147</f>
        <v>794.4</v>
      </c>
    </row>
    <row r="140" spans="1:5" ht="31.5">
      <c r="A140" s="42">
        <v>1230620300</v>
      </c>
      <c r="B140" s="42"/>
      <c r="C140" s="57" t="s">
        <v>225</v>
      </c>
      <c r="D140" s="38">
        <f>D141+D143+D145</f>
        <v>369.99999999999994</v>
      </c>
      <c r="E140" s="38">
        <f aca="true" t="shared" si="49" ref="E140">E141+E143+E145</f>
        <v>363.8</v>
      </c>
    </row>
    <row r="141" spans="1:5" ht="63">
      <c r="A141" s="42">
        <v>1230620300</v>
      </c>
      <c r="B141" s="43" t="s">
        <v>71</v>
      </c>
      <c r="C141" s="57" t="s">
        <v>1</v>
      </c>
      <c r="D141" s="38">
        <f>D142</f>
        <v>149.7</v>
      </c>
      <c r="E141" s="38">
        <f aca="true" t="shared" si="50" ref="E141">E142</f>
        <v>148</v>
      </c>
    </row>
    <row r="142" spans="1:5" ht="31.5">
      <c r="A142" s="42">
        <v>1230620300</v>
      </c>
      <c r="B142" s="42">
        <v>120</v>
      </c>
      <c r="C142" s="57" t="s">
        <v>258</v>
      </c>
      <c r="D142" s="38">
        <f>'№ 7'!E605</f>
        <v>149.7</v>
      </c>
      <c r="E142" s="38">
        <f>'№ 7'!F605</f>
        <v>148</v>
      </c>
    </row>
    <row r="143" spans="1:5" ht="31.5">
      <c r="A143" s="42">
        <v>1230620300</v>
      </c>
      <c r="B143" s="43" t="s">
        <v>72</v>
      </c>
      <c r="C143" s="57" t="s">
        <v>95</v>
      </c>
      <c r="D143" s="38">
        <f>D144</f>
        <v>126.1</v>
      </c>
      <c r="E143" s="38">
        <f aca="true" t="shared" si="51" ref="E143">E144</f>
        <v>126.1</v>
      </c>
    </row>
    <row r="144" spans="1:5" ht="31.5">
      <c r="A144" s="42">
        <v>1230620300</v>
      </c>
      <c r="B144" s="42">
        <v>240</v>
      </c>
      <c r="C144" s="57" t="s">
        <v>257</v>
      </c>
      <c r="D144" s="38">
        <f>'№ 7'!E607</f>
        <v>126.1</v>
      </c>
      <c r="E144" s="38">
        <f>'№ 7'!F607</f>
        <v>126.1</v>
      </c>
    </row>
    <row r="145" spans="1:5" ht="12.75">
      <c r="A145" s="42">
        <v>1230620300</v>
      </c>
      <c r="B145" s="42" t="s">
        <v>73</v>
      </c>
      <c r="C145" s="57" t="s">
        <v>74</v>
      </c>
      <c r="D145" s="38">
        <f>D146</f>
        <v>94.2</v>
      </c>
      <c r="E145" s="38">
        <f aca="true" t="shared" si="52" ref="E145">E146</f>
        <v>89.7</v>
      </c>
    </row>
    <row r="146" spans="1:5" ht="12.75">
      <c r="A146" s="42">
        <v>1230620300</v>
      </c>
      <c r="B146" s="42">
        <v>850</v>
      </c>
      <c r="C146" s="57" t="s">
        <v>102</v>
      </c>
      <c r="D146" s="38">
        <f>'№ 7'!E609</f>
        <v>94.2</v>
      </c>
      <c r="E146" s="38">
        <f>'№ 7'!F609</f>
        <v>89.7</v>
      </c>
    </row>
    <row r="147" spans="1:5" ht="12.75">
      <c r="A147" s="42">
        <v>1230620320</v>
      </c>
      <c r="B147" s="42"/>
      <c r="C147" s="57" t="s">
        <v>151</v>
      </c>
      <c r="D147" s="38">
        <f>D148+D150+D152</f>
        <v>438.5</v>
      </c>
      <c r="E147" s="38">
        <f aca="true" t="shared" si="53" ref="E147">E148+E150+E152</f>
        <v>430.59999999999997</v>
      </c>
    </row>
    <row r="148" spans="1:5" ht="63">
      <c r="A148" s="42">
        <v>1230620320</v>
      </c>
      <c r="B148" s="43" t="s">
        <v>71</v>
      </c>
      <c r="C148" s="57" t="s">
        <v>1</v>
      </c>
      <c r="D148" s="38">
        <f>D149</f>
        <v>260.5</v>
      </c>
      <c r="E148" s="38">
        <f aca="true" t="shared" si="54" ref="E148">E149</f>
        <v>252.7</v>
      </c>
    </row>
    <row r="149" spans="1:5" ht="31.5">
      <c r="A149" s="42">
        <v>1230620320</v>
      </c>
      <c r="B149" s="42">
        <v>120</v>
      </c>
      <c r="C149" s="57" t="s">
        <v>258</v>
      </c>
      <c r="D149" s="38">
        <f>'№ 7'!E612</f>
        <v>260.5</v>
      </c>
      <c r="E149" s="38">
        <f>'№ 7'!F612</f>
        <v>252.7</v>
      </c>
    </row>
    <row r="150" spans="1:5" ht="31.5">
      <c r="A150" s="42">
        <v>1230620320</v>
      </c>
      <c r="B150" s="43" t="s">
        <v>72</v>
      </c>
      <c r="C150" s="57" t="s">
        <v>95</v>
      </c>
      <c r="D150" s="38">
        <f>D151</f>
        <v>117.1</v>
      </c>
      <c r="E150" s="38">
        <f aca="true" t="shared" si="55" ref="E150">E151</f>
        <v>117</v>
      </c>
    </row>
    <row r="151" spans="1:5" ht="31.5">
      <c r="A151" s="42">
        <v>1230620320</v>
      </c>
      <c r="B151" s="42">
        <v>240</v>
      </c>
      <c r="C151" s="57" t="s">
        <v>257</v>
      </c>
      <c r="D151" s="38">
        <f>'№ 7'!E614</f>
        <v>117.1</v>
      </c>
      <c r="E151" s="38">
        <f>'№ 7'!F614</f>
        <v>117</v>
      </c>
    </row>
    <row r="152" spans="1:5" ht="31.5">
      <c r="A152" s="42">
        <v>1230620320</v>
      </c>
      <c r="B152" s="43" t="s">
        <v>97</v>
      </c>
      <c r="C152" s="57" t="s">
        <v>98</v>
      </c>
      <c r="D152" s="38">
        <f>D153</f>
        <v>60.900000000000006</v>
      </c>
      <c r="E152" s="38">
        <f aca="true" t="shared" si="56" ref="E152">E153</f>
        <v>60.9</v>
      </c>
    </row>
    <row r="153" spans="1:5" ht="12.75">
      <c r="A153" s="42">
        <v>1230620320</v>
      </c>
      <c r="B153" s="42">
        <v>610</v>
      </c>
      <c r="C153" s="57" t="s">
        <v>106</v>
      </c>
      <c r="D153" s="38">
        <f>'№ 7'!E616</f>
        <v>60.900000000000006</v>
      </c>
      <c r="E153" s="38">
        <f>'№ 7'!F616</f>
        <v>60.9</v>
      </c>
    </row>
    <row r="154" spans="1:5" ht="31.5">
      <c r="A154" s="149" t="s">
        <v>347</v>
      </c>
      <c r="B154" s="149"/>
      <c r="C154" s="146" t="s">
        <v>344</v>
      </c>
      <c r="D154" s="38">
        <f>D161+D158+D155</f>
        <v>3241.7</v>
      </c>
      <c r="E154" s="38">
        <f aca="true" t="shared" si="57" ref="E154">E161+E158+E155</f>
        <v>3241.7</v>
      </c>
    </row>
    <row r="155" spans="1:5" ht="47.25">
      <c r="A155" s="217" t="s">
        <v>419</v>
      </c>
      <c r="B155" s="217"/>
      <c r="C155" s="73" t="s">
        <v>420</v>
      </c>
      <c r="D155" s="38">
        <f>D156</f>
        <v>1891.7</v>
      </c>
      <c r="E155" s="38">
        <f aca="true" t="shared" si="58" ref="E155:E156">E156</f>
        <v>1891.7</v>
      </c>
    </row>
    <row r="156" spans="1:5" ht="31.5">
      <c r="A156" s="217" t="s">
        <v>419</v>
      </c>
      <c r="B156" s="218" t="s">
        <v>72</v>
      </c>
      <c r="C156" s="73" t="s">
        <v>95</v>
      </c>
      <c r="D156" s="38">
        <f>D157</f>
        <v>1891.7</v>
      </c>
      <c r="E156" s="38">
        <f t="shared" si="58"/>
        <v>1891.7</v>
      </c>
    </row>
    <row r="157" spans="1:5" ht="31.5">
      <c r="A157" s="217" t="s">
        <v>419</v>
      </c>
      <c r="B157" s="217">
        <v>240</v>
      </c>
      <c r="C157" s="73" t="s">
        <v>257</v>
      </c>
      <c r="D157" s="38">
        <f>'№ 7'!E620</f>
        <v>1891.7</v>
      </c>
      <c r="E157" s="38">
        <f>'№ 7'!F620</f>
        <v>1891.7</v>
      </c>
    </row>
    <row r="158" spans="1:5" ht="31.5">
      <c r="A158" s="151" t="s">
        <v>350</v>
      </c>
      <c r="B158" s="151"/>
      <c r="C158" s="146" t="s">
        <v>349</v>
      </c>
      <c r="D158" s="38">
        <f>D159</f>
        <v>719.4000000000001</v>
      </c>
      <c r="E158" s="38">
        <f aca="true" t="shared" si="59" ref="E158:E159">E159</f>
        <v>719.4</v>
      </c>
    </row>
    <row r="159" spans="1:5" ht="31.5">
      <c r="A159" s="151" t="s">
        <v>350</v>
      </c>
      <c r="B159" s="153" t="s">
        <v>72</v>
      </c>
      <c r="C159" s="73" t="s">
        <v>95</v>
      </c>
      <c r="D159" s="38">
        <f>D160</f>
        <v>719.4000000000001</v>
      </c>
      <c r="E159" s="38">
        <f t="shared" si="59"/>
        <v>719.4</v>
      </c>
    </row>
    <row r="160" spans="1:5" ht="31.5">
      <c r="A160" s="151" t="s">
        <v>350</v>
      </c>
      <c r="B160" s="151">
        <v>240</v>
      </c>
      <c r="C160" s="73" t="s">
        <v>257</v>
      </c>
      <c r="D160" s="38">
        <f>'№ 7'!E623</f>
        <v>719.4000000000001</v>
      </c>
      <c r="E160" s="38">
        <f>'№ 7'!F623</f>
        <v>719.4</v>
      </c>
    </row>
    <row r="161" spans="1:5" ht="47.25">
      <c r="A161" s="149" t="s">
        <v>348</v>
      </c>
      <c r="B161" s="149"/>
      <c r="C161" s="73" t="s">
        <v>333</v>
      </c>
      <c r="D161" s="38">
        <f>D162</f>
        <v>630.6</v>
      </c>
      <c r="E161" s="38">
        <f aca="true" t="shared" si="60" ref="E161:E162">E162</f>
        <v>630.6</v>
      </c>
    </row>
    <row r="162" spans="1:5" ht="31.5">
      <c r="A162" s="149" t="s">
        <v>348</v>
      </c>
      <c r="B162" s="150" t="s">
        <v>72</v>
      </c>
      <c r="C162" s="73" t="s">
        <v>95</v>
      </c>
      <c r="D162" s="38">
        <f>D163</f>
        <v>630.6</v>
      </c>
      <c r="E162" s="38">
        <f t="shared" si="60"/>
        <v>630.6</v>
      </c>
    </row>
    <row r="163" spans="1:5" ht="31.5">
      <c r="A163" s="149" t="s">
        <v>348</v>
      </c>
      <c r="B163" s="149">
        <v>240</v>
      </c>
      <c r="C163" s="73" t="s">
        <v>257</v>
      </c>
      <c r="D163" s="38">
        <f>'№ 7'!E626</f>
        <v>630.6</v>
      </c>
      <c r="E163" s="38">
        <f>'№ 7'!F626</f>
        <v>630.6</v>
      </c>
    </row>
    <row r="164" spans="1:5" ht="31.5">
      <c r="A164" s="43">
        <v>1240000000</v>
      </c>
      <c r="B164" s="42"/>
      <c r="C164" s="57" t="s">
        <v>140</v>
      </c>
      <c r="D164" s="38">
        <f>D165+D169+D191+D181+D201+D209</f>
        <v>14677.699999999999</v>
      </c>
      <c r="E164" s="38">
        <f>E165+E169+E191+E181+E201+E209</f>
        <v>14279.199999999999</v>
      </c>
    </row>
    <row r="165" spans="1:5" ht="31.5">
      <c r="A165" s="43">
        <v>1240100000</v>
      </c>
      <c r="B165" s="42"/>
      <c r="C165" s="57" t="s">
        <v>217</v>
      </c>
      <c r="D165" s="38">
        <f>D166</f>
        <v>490</v>
      </c>
      <c r="E165" s="38">
        <f aca="true" t="shared" si="61" ref="E165:E167">E166</f>
        <v>490</v>
      </c>
    </row>
    <row r="166" spans="1:5" ht="31.5">
      <c r="A166" s="43">
        <v>1240120330</v>
      </c>
      <c r="B166" s="42"/>
      <c r="C166" s="57" t="s">
        <v>155</v>
      </c>
      <c r="D166" s="38">
        <f>D167</f>
        <v>490</v>
      </c>
      <c r="E166" s="38">
        <f t="shared" si="61"/>
        <v>490</v>
      </c>
    </row>
    <row r="167" spans="1:5" ht="31.5">
      <c r="A167" s="43">
        <v>1240120330</v>
      </c>
      <c r="B167" s="43" t="s">
        <v>97</v>
      </c>
      <c r="C167" s="57" t="s">
        <v>98</v>
      </c>
      <c r="D167" s="38">
        <f>D168</f>
        <v>490</v>
      </c>
      <c r="E167" s="38">
        <f t="shared" si="61"/>
        <v>490</v>
      </c>
    </row>
    <row r="168" spans="1:5" ht="31.5">
      <c r="A168" s="43">
        <v>1240120330</v>
      </c>
      <c r="B168" s="42">
        <v>630</v>
      </c>
      <c r="C168" s="57" t="s">
        <v>156</v>
      </c>
      <c r="D168" s="38">
        <f>'№ 7'!E557</f>
        <v>490</v>
      </c>
      <c r="E168" s="38">
        <f>'№ 7'!F557</f>
        <v>490</v>
      </c>
    </row>
    <row r="169" spans="1:5" ht="31.5">
      <c r="A169" s="43">
        <v>1240200000</v>
      </c>
      <c r="B169" s="42"/>
      <c r="C169" s="57" t="s">
        <v>157</v>
      </c>
      <c r="D169" s="38">
        <f>D175+D170+D178</f>
        <v>210.4</v>
      </c>
      <c r="E169" s="38">
        <f>E175+E170+E178</f>
        <v>200.9</v>
      </c>
    </row>
    <row r="170" spans="1:5" ht="12.75">
      <c r="A170" s="42">
        <v>1240220340</v>
      </c>
      <c r="B170" s="42"/>
      <c r="C170" s="63" t="s">
        <v>164</v>
      </c>
      <c r="D170" s="38">
        <f>D171+D173</f>
        <v>111.80000000000001</v>
      </c>
      <c r="E170" s="38">
        <f aca="true" t="shared" si="62" ref="E170">E171+E173</f>
        <v>102.4</v>
      </c>
    </row>
    <row r="171" spans="1:5" ht="31.5">
      <c r="A171" s="42">
        <v>1240220340</v>
      </c>
      <c r="B171" s="43" t="s">
        <v>72</v>
      </c>
      <c r="C171" s="57" t="s">
        <v>95</v>
      </c>
      <c r="D171" s="38">
        <f>D172</f>
        <v>80.2</v>
      </c>
      <c r="E171" s="38">
        <f aca="true" t="shared" si="63" ref="E171">E172</f>
        <v>70.8</v>
      </c>
    </row>
    <row r="172" spans="1:5" ht="31.5">
      <c r="A172" s="42">
        <v>1240220340</v>
      </c>
      <c r="B172" s="42">
        <v>240</v>
      </c>
      <c r="C172" s="63" t="s">
        <v>257</v>
      </c>
      <c r="D172" s="38">
        <f>'№ 7'!E79</f>
        <v>80.2</v>
      </c>
      <c r="E172" s="38">
        <f>'№ 7'!F79</f>
        <v>70.8</v>
      </c>
    </row>
    <row r="173" spans="1:5" ht="12.75">
      <c r="A173" s="42">
        <v>1240220340</v>
      </c>
      <c r="B173" s="43" t="s">
        <v>76</v>
      </c>
      <c r="C173" s="57" t="s">
        <v>77</v>
      </c>
      <c r="D173" s="38">
        <f>D174</f>
        <v>31.6</v>
      </c>
      <c r="E173" s="38">
        <f aca="true" t="shared" si="64" ref="E173">E174</f>
        <v>31.6</v>
      </c>
    </row>
    <row r="174" spans="1:5" ht="12.75">
      <c r="A174" s="42">
        <v>1240220340</v>
      </c>
      <c r="B174" s="42">
        <v>350</v>
      </c>
      <c r="C174" s="60" t="s">
        <v>165</v>
      </c>
      <c r="D174" s="38">
        <f>'№ 7'!E81</f>
        <v>31.6</v>
      </c>
      <c r="E174" s="38">
        <f>'№ 7'!F81</f>
        <v>31.6</v>
      </c>
    </row>
    <row r="175" spans="1:5" ht="31.5">
      <c r="A175" s="43">
        <v>1240220350</v>
      </c>
      <c r="B175" s="42"/>
      <c r="C175" s="57" t="s">
        <v>218</v>
      </c>
      <c r="D175" s="38">
        <f>D176</f>
        <v>92</v>
      </c>
      <c r="E175" s="38">
        <f>E176</f>
        <v>92</v>
      </c>
    </row>
    <row r="176" spans="1:5" ht="12.75">
      <c r="A176" s="43">
        <v>1240220350</v>
      </c>
      <c r="B176" s="42" t="s">
        <v>76</v>
      </c>
      <c r="C176" s="57" t="s">
        <v>77</v>
      </c>
      <c r="D176" s="38">
        <f>D177</f>
        <v>92</v>
      </c>
      <c r="E176" s="38">
        <f aca="true" t="shared" si="65" ref="E176">E177</f>
        <v>92</v>
      </c>
    </row>
    <row r="177" spans="1:5" ht="12.75">
      <c r="A177" s="43">
        <v>1240220350</v>
      </c>
      <c r="B177" s="42" t="s">
        <v>152</v>
      </c>
      <c r="C177" s="57" t="s">
        <v>153</v>
      </c>
      <c r="D177" s="38">
        <f>'№ 7'!E561</f>
        <v>92</v>
      </c>
      <c r="E177" s="38">
        <f>'№ 7'!F561</f>
        <v>92</v>
      </c>
    </row>
    <row r="178" spans="1:5" ht="31.5">
      <c r="A178" s="68">
        <v>1240220360</v>
      </c>
      <c r="B178" s="68"/>
      <c r="C178" s="60" t="s">
        <v>261</v>
      </c>
      <c r="D178" s="38">
        <f>D179</f>
        <v>6.6</v>
      </c>
      <c r="E178" s="38">
        <f aca="true" t="shared" si="66" ref="E178:E179">E179</f>
        <v>6.5</v>
      </c>
    </row>
    <row r="179" spans="1:5" ht="12.75">
      <c r="A179" s="68">
        <v>1240220360</v>
      </c>
      <c r="B179" s="70" t="s">
        <v>76</v>
      </c>
      <c r="C179" s="69" t="s">
        <v>77</v>
      </c>
      <c r="D179" s="38">
        <f>D180</f>
        <v>6.6</v>
      </c>
      <c r="E179" s="38">
        <f t="shared" si="66"/>
        <v>6.5</v>
      </c>
    </row>
    <row r="180" spans="1:5" ht="12.75">
      <c r="A180" s="68">
        <v>1240220360</v>
      </c>
      <c r="B180" s="68">
        <v>350</v>
      </c>
      <c r="C180" s="60" t="s">
        <v>165</v>
      </c>
      <c r="D180" s="38">
        <f>'№ 7'!E84</f>
        <v>6.6</v>
      </c>
      <c r="E180" s="38">
        <f>'№ 7'!F84</f>
        <v>6.5</v>
      </c>
    </row>
    <row r="181" spans="1:5" ht="12.75">
      <c r="A181" s="42">
        <v>1240300000</v>
      </c>
      <c r="B181" s="42"/>
      <c r="C181" s="57" t="s">
        <v>219</v>
      </c>
      <c r="D181" s="38">
        <f>D188+D185+D182</f>
        <v>1939.4</v>
      </c>
      <c r="E181" s="38">
        <f aca="true" t="shared" si="67" ref="E181">E188+E185+E182</f>
        <v>1939.4</v>
      </c>
    </row>
    <row r="182" spans="1:5" ht="47.25">
      <c r="A182" s="105">
        <v>1240310320</v>
      </c>
      <c r="B182" s="105"/>
      <c r="C182" s="73" t="s">
        <v>307</v>
      </c>
      <c r="D182" s="38">
        <f>D183</f>
        <v>476.90000000000003</v>
      </c>
      <c r="E182" s="38">
        <f aca="true" t="shared" si="68" ref="E182:E183">E183</f>
        <v>476.9</v>
      </c>
    </row>
    <row r="183" spans="1:5" ht="31.5">
      <c r="A183" s="105">
        <v>1240310320</v>
      </c>
      <c r="B183" s="107" t="s">
        <v>97</v>
      </c>
      <c r="C183" s="106" t="s">
        <v>98</v>
      </c>
      <c r="D183" s="38">
        <f>D184</f>
        <v>476.90000000000003</v>
      </c>
      <c r="E183" s="38">
        <f t="shared" si="68"/>
        <v>476.9</v>
      </c>
    </row>
    <row r="184" spans="1:5" ht="31.5">
      <c r="A184" s="105">
        <v>1240310320</v>
      </c>
      <c r="B184" s="105">
        <v>630</v>
      </c>
      <c r="C184" s="106" t="s">
        <v>156</v>
      </c>
      <c r="D184" s="38">
        <f>'№ 7'!E657</f>
        <v>476.90000000000003</v>
      </c>
      <c r="E184" s="38">
        <f>'№ 7'!F657</f>
        <v>476.9</v>
      </c>
    </row>
    <row r="185" spans="1:5" ht="47.25">
      <c r="A185" s="101">
        <v>1240320400</v>
      </c>
      <c r="B185" s="101"/>
      <c r="C185" s="106" t="s">
        <v>308</v>
      </c>
      <c r="D185" s="38">
        <f>D186</f>
        <v>609</v>
      </c>
      <c r="E185" s="38">
        <f aca="true" t="shared" si="69" ref="E185:E186">E186</f>
        <v>609</v>
      </c>
    </row>
    <row r="186" spans="1:5" ht="31.5">
      <c r="A186" s="101">
        <v>1240320400</v>
      </c>
      <c r="B186" s="103" t="s">
        <v>72</v>
      </c>
      <c r="C186" s="102" t="s">
        <v>95</v>
      </c>
      <c r="D186" s="38">
        <f>D187</f>
        <v>609</v>
      </c>
      <c r="E186" s="38">
        <f t="shared" si="69"/>
        <v>609</v>
      </c>
    </row>
    <row r="187" spans="1:5" ht="31.5">
      <c r="A187" s="101">
        <v>1240320400</v>
      </c>
      <c r="B187" s="101">
        <v>240</v>
      </c>
      <c r="C187" s="102" t="s">
        <v>257</v>
      </c>
      <c r="D187" s="38">
        <f>'№ 7'!E660</f>
        <v>609</v>
      </c>
      <c r="E187" s="38">
        <f>'№ 7'!F660</f>
        <v>609</v>
      </c>
    </row>
    <row r="188" spans="1:5" ht="47.25">
      <c r="A188" s="42" t="s">
        <v>159</v>
      </c>
      <c r="B188" s="42"/>
      <c r="C188" s="57" t="s">
        <v>158</v>
      </c>
      <c r="D188" s="38">
        <f>D189</f>
        <v>853.5</v>
      </c>
      <c r="E188" s="38">
        <f aca="true" t="shared" si="70" ref="E188:E189">E189</f>
        <v>853.5</v>
      </c>
    </row>
    <row r="189" spans="1:5" ht="31.5">
      <c r="A189" s="42" t="s">
        <v>159</v>
      </c>
      <c r="B189" s="103" t="s">
        <v>97</v>
      </c>
      <c r="C189" s="102" t="s">
        <v>98</v>
      </c>
      <c r="D189" s="38">
        <f>D190</f>
        <v>853.5</v>
      </c>
      <c r="E189" s="38">
        <f t="shared" si="70"/>
        <v>853.5</v>
      </c>
    </row>
    <row r="190" spans="1:5" ht="31.5">
      <c r="A190" s="42" t="s">
        <v>159</v>
      </c>
      <c r="B190" s="101">
        <v>630</v>
      </c>
      <c r="C190" s="102" t="s">
        <v>156</v>
      </c>
      <c r="D190" s="38">
        <f>'№ 7'!E663</f>
        <v>853.5</v>
      </c>
      <c r="E190" s="38">
        <f>'№ 7'!F663</f>
        <v>853.5</v>
      </c>
    </row>
    <row r="191" spans="1:5" ht="12.75">
      <c r="A191" s="42">
        <v>1240400000</v>
      </c>
      <c r="B191" s="42"/>
      <c r="C191" s="57" t="s">
        <v>216</v>
      </c>
      <c r="D191" s="38">
        <f>D192+D198+D195</f>
        <v>10986.2</v>
      </c>
      <c r="E191" s="38">
        <f>E192+E198+E195</f>
        <v>10677.1</v>
      </c>
    </row>
    <row r="192" spans="1:5" ht="15" customHeight="1">
      <c r="A192" s="42">
        <v>1240420380</v>
      </c>
      <c r="B192" s="42"/>
      <c r="C192" s="57" t="s">
        <v>154</v>
      </c>
      <c r="D192" s="38">
        <f>D193</f>
        <v>159</v>
      </c>
      <c r="E192" s="38">
        <f aca="true" t="shared" si="71" ref="E192">E193</f>
        <v>154</v>
      </c>
    </row>
    <row r="193" spans="1:5" ht="12.75">
      <c r="A193" s="42">
        <v>1240420380</v>
      </c>
      <c r="B193" s="43" t="s">
        <v>76</v>
      </c>
      <c r="C193" s="57" t="s">
        <v>77</v>
      </c>
      <c r="D193" s="38">
        <f>D194</f>
        <v>159</v>
      </c>
      <c r="E193" s="38">
        <f aca="true" t="shared" si="72" ref="E193">E194</f>
        <v>154</v>
      </c>
    </row>
    <row r="194" spans="1:5" ht="31.5">
      <c r="A194" s="42">
        <v>1240420380</v>
      </c>
      <c r="B194" s="43" t="s">
        <v>103</v>
      </c>
      <c r="C194" s="57" t="s">
        <v>104</v>
      </c>
      <c r="D194" s="38">
        <f>'№ 7'!E565</f>
        <v>159</v>
      </c>
      <c r="E194" s="38">
        <f>'№ 7'!F565</f>
        <v>154</v>
      </c>
    </row>
    <row r="195" spans="1:5" ht="47.25">
      <c r="A195" s="42">
        <v>1240420390</v>
      </c>
      <c r="B195" s="42"/>
      <c r="C195" s="63" t="s">
        <v>70</v>
      </c>
      <c r="D195" s="38">
        <f>D196</f>
        <v>917.5</v>
      </c>
      <c r="E195" s="38">
        <f>E196</f>
        <v>917.5</v>
      </c>
    </row>
    <row r="196" spans="1:5" ht="12.75">
      <c r="A196" s="42">
        <v>1240420390</v>
      </c>
      <c r="B196" s="43" t="s">
        <v>76</v>
      </c>
      <c r="C196" s="57" t="s">
        <v>77</v>
      </c>
      <c r="D196" s="38">
        <f>D197</f>
        <v>917.5</v>
      </c>
      <c r="E196" s="38">
        <f aca="true" t="shared" si="73" ref="E196">E197</f>
        <v>917.5</v>
      </c>
    </row>
    <row r="197" spans="1:5" ht="12.75">
      <c r="A197" s="42">
        <v>1240420390</v>
      </c>
      <c r="B197" s="43" t="s">
        <v>152</v>
      </c>
      <c r="C197" s="57" t="s">
        <v>153</v>
      </c>
      <c r="D197" s="38">
        <f>'№ 7'!E550</f>
        <v>917.5</v>
      </c>
      <c r="E197" s="38">
        <f>'№ 7'!F550</f>
        <v>917.5</v>
      </c>
    </row>
    <row r="198" spans="1:5" ht="12.75">
      <c r="A198" s="48" t="s">
        <v>256</v>
      </c>
      <c r="B198" s="48"/>
      <c r="C198" s="57" t="s">
        <v>255</v>
      </c>
      <c r="D198" s="38">
        <f>D199</f>
        <v>9909.7</v>
      </c>
      <c r="E198" s="38">
        <f aca="true" t="shared" si="74" ref="E198">E199</f>
        <v>9605.6</v>
      </c>
    </row>
    <row r="199" spans="1:5" ht="12.75">
      <c r="A199" s="48" t="s">
        <v>256</v>
      </c>
      <c r="B199" s="1" t="s">
        <v>76</v>
      </c>
      <c r="C199" s="60" t="s">
        <v>77</v>
      </c>
      <c r="D199" s="38">
        <f>D200</f>
        <v>9909.7</v>
      </c>
      <c r="E199" s="38">
        <f aca="true" t="shared" si="75" ref="E199">E200</f>
        <v>9605.6</v>
      </c>
    </row>
    <row r="200" spans="1:5" ht="31.5">
      <c r="A200" s="48" t="s">
        <v>256</v>
      </c>
      <c r="B200" s="1" t="s">
        <v>103</v>
      </c>
      <c r="C200" s="60" t="s">
        <v>104</v>
      </c>
      <c r="D200" s="38">
        <f>'№ 7'!E580</f>
        <v>9909.7</v>
      </c>
      <c r="E200" s="38">
        <f>'№ 7'!F580</f>
        <v>9605.6</v>
      </c>
    </row>
    <row r="201" spans="1:5" ht="12.75">
      <c r="A201" s="42">
        <v>1240500000</v>
      </c>
      <c r="B201" s="42"/>
      <c r="C201" s="57" t="s">
        <v>141</v>
      </c>
      <c r="D201" s="38">
        <f>D202+D206</f>
        <v>992.8</v>
      </c>
      <c r="E201" s="38">
        <f aca="true" t="shared" si="76" ref="E201">E202+E206</f>
        <v>913</v>
      </c>
    </row>
    <row r="202" spans="1:5" ht="31.5">
      <c r="A202" s="42">
        <v>1240520410</v>
      </c>
      <c r="B202" s="42"/>
      <c r="C202" s="57" t="s">
        <v>233</v>
      </c>
      <c r="D202" s="38">
        <f>D203</f>
        <v>208</v>
      </c>
      <c r="E202" s="38">
        <f aca="true" t="shared" si="77" ref="E202">E203</f>
        <v>205.7</v>
      </c>
    </row>
    <row r="203" spans="1:5" ht="12.75">
      <c r="A203" s="42">
        <v>1240520410</v>
      </c>
      <c r="B203" s="42" t="s">
        <v>73</v>
      </c>
      <c r="C203" s="57" t="s">
        <v>74</v>
      </c>
      <c r="D203" s="38">
        <f>D204+D205</f>
        <v>208</v>
      </c>
      <c r="E203" s="38">
        <f aca="true" t="shared" si="78" ref="E203">E204+E205</f>
        <v>205.7</v>
      </c>
    </row>
    <row r="204" spans="1:5" ht="12.75">
      <c r="A204" s="42">
        <v>1240520410</v>
      </c>
      <c r="B204" s="42">
        <v>850</v>
      </c>
      <c r="C204" s="57" t="s">
        <v>102</v>
      </c>
      <c r="D204" s="38">
        <f>'№ 7'!E88</f>
        <v>119.4</v>
      </c>
      <c r="E204" s="38">
        <f>'№ 7'!F88</f>
        <v>117.1</v>
      </c>
    </row>
    <row r="205" spans="1:5" ht="31.5">
      <c r="A205" s="42">
        <v>1240520410</v>
      </c>
      <c r="B205" s="42">
        <v>860</v>
      </c>
      <c r="C205" s="57" t="s">
        <v>260</v>
      </c>
      <c r="D205" s="38">
        <f>'№ 7'!E66</f>
        <v>88.6</v>
      </c>
      <c r="E205" s="38">
        <f>'№ 7'!F66</f>
        <v>88.6</v>
      </c>
    </row>
    <row r="206" spans="1:5" ht="31.5">
      <c r="A206" s="42">
        <v>1240520460</v>
      </c>
      <c r="B206" s="42"/>
      <c r="C206" s="57" t="s">
        <v>166</v>
      </c>
      <c r="D206" s="38">
        <f>D207</f>
        <v>784.8</v>
      </c>
      <c r="E206" s="38">
        <f aca="true" t="shared" si="79" ref="E206:E207">E207</f>
        <v>707.3</v>
      </c>
    </row>
    <row r="207" spans="1:5" ht="31.5">
      <c r="A207" s="42">
        <v>1240520460</v>
      </c>
      <c r="B207" s="43" t="s">
        <v>72</v>
      </c>
      <c r="C207" s="57" t="s">
        <v>95</v>
      </c>
      <c r="D207" s="38">
        <f>D208</f>
        <v>784.8</v>
      </c>
      <c r="E207" s="38">
        <f t="shared" si="79"/>
        <v>707.3</v>
      </c>
    </row>
    <row r="208" spans="1:5" ht="31.5">
      <c r="A208" s="42">
        <v>1240520460</v>
      </c>
      <c r="B208" s="42">
        <v>240</v>
      </c>
      <c r="C208" s="57" t="s">
        <v>257</v>
      </c>
      <c r="D208" s="38">
        <f>'№ 7'!E91</f>
        <v>784.8</v>
      </c>
      <c r="E208" s="38">
        <f>'№ 7'!F91</f>
        <v>707.3</v>
      </c>
    </row>
    <row r="209" spans="1:5" ht="31.5">
      <c r="A209" s="51" t="s">
        <v>142</v>
      </c>
      <c r="B209" s="10"/>
      <c r="C209" s="63" t="s">
        <v>148</v>
      </c>
      <c r="D209" s="38">
        <f>D210+D213</f>
        <v>58.9</v>
      </c>
      <c r="E209" s="38">
        <f>E210+E213</f>
        <v>58.8</v>
      </c>
    </row>
    <row r="210" spans="1:5" ht="16.5" customHeight="1">
      <c r="A210" s="10" t="s">
        <v>144</v>
      </c>
      <c r="B210" s="10"/>
      <c r="C210" s="57" t="s">
        <v>143</v>
      </c>
      <c r="D210" s="38">
        <f>D211</f>
        <v>22.9</v>
      </c>
      <c r="E210" s="38">
        <f aca="true" t="shared" si="80" ref="E210:E211">E211</f>
        <v>22.8</v>
      </c>
    </row>
    <row r="211" spans="1:5" ht="31.5">
      <c r="A211" s="10" t="s">
        <v>144</v>
      </c>
      <c r="B211" s="43" t="s">
        <v>72</v>
      </c>
      <c r="C211" s="57" t="s">
        <v>95</v>
      </c>
      <c r="D211" s="38">
        <f>D212</f>
        <v>22.9</v>
      </c>
      <c r="E211" s="38">
        <f t="shared" si="80"/>
        <v>22.8</v>
      </c>
    </row>
    <row r="212" spans="1:5" ht="31.5">
      <c r="A212" s="10" t="s">
        <v>144</v>
      </c>
      <c r="B212" s="42">
        <v>240</v>
      </c>
      <c r="C212" s="57" t="s">
        <v>257</v>
      </c>
      <c r="D212" s="38">
        <f>'№ 7'!E478</f>
        <v>22.9</v>
      </c>
      <c r="E212" s="38">
        <f>'№ 7'!F478</f>
        <v>22.8</v>
      </c>
    </row>
    <row r="213" spans="1:5" ht="12.75">
      <c r="A213" s="10" t="s">
        <v>227</v>
      </c>
      <c r="B213" s="10"/>
      <c r="C213" s="57" t="s">
        <v>145</v>
      </c>
      <c r="D213" s="38">
        <f>D214</f>
        <v>36</v>
      </c>
      <c r="E213" s="38">
        <f aca="true" t="shared" si="81" ref="E213">E214</f>
        <v>36</v>
      </c>
    </row>
    <row r="214" spans="1:5" ht="12.75">
      <c r="A214" s="10" t="s">
        <v>227</v>
      </c>
      <c r="B214" s="43" t="s">
        <v>76</v>
      </c>
      <c r="C214" s="57" t="s">
        <v>77</v>
      </c>
      <c r="D214" s="38">
        <f>D215</f>
        <v>36</v>
      </c>
      <c r="E214" s="38">
        <f aca="true" t="shared" si="82" ref="E214">E215</f>
        <v>36</v>
      </c>
    </row>
    <row r="215" spans="1:5" ht="12.75">
      <c r="A215" s="10" t="s">
        <v>227</v>
      </c>
      <c r="B215" s="10" t="s">
        <v>146</v>
      </c>
      <c r="C215" s="57" t="s">
        <v>147</v>
      </c>
      <c r="D215" s="38">
        <f>'№ 7'!E481</f>
        <v>36</v>
      </c>
      <c r="E215" s="38">
        <f>'№ 7'!F481</f>
        <v>36</v>
      </c>
    </row>
    <row r="216" spans="1:5" ht="31.5">
      <c r="A216" s="70">
        <v>1250000000</v>
      </c>
      <c r="B216" s="68"/>
      <c r="C216" s="69" t="s">
        <v>262</v>
      </c>
      <c r="D216" s="38">
        <f>D217</f>
        <v>121066.70000000001</v>
      </c>
      <c r="E216" s="38">
        <f aca="true" t="shared" si="83" ref="E216:E231">E217</f>
        <v>110398.6</v>
      </c>
    </row>
    <row r="217" spans="1:5" ht="47.25">
      <c r="A217" s="85" t="s">
        <v>274</v>
      </c>
      <c r="B217" s="83"/>
      <c r="C217" s="84" t="s">
        <v>271</v>
      </c>
      <c r="D217" s="38">
        <f>D230+D227+D218+D221+D224</f>
        <v>121066.70000000001</v>
      </c>
      <c r="E217" s="38">
        <f aca="true" t="shared" si="84" ref="E217">E230+E227+E218+E221+E224</f>
        <v>110398.6</v>
      </c>
    </row>
    <row r="218" spans="1:5" ht="47.25">
      <c r="A218" s="131" t="s">
        <v>322</v>
      </c>
      <c r="B218" s="129"/>
      <c r="C218" s="130" t="s">
        <v>323</v>
      </c>
      <c r="D218" s="38">
        <f>D219</f>
        <v>28180.5</v>
      </c>
      <c r="E218" s="38">
        <f aca="true" t="shared" si="85" ref="E218:E219">E219</f>
        <v>28180.5</v>
      </c>
    </row>
    <row r="219" spans="1:5" ht="31.5">
      <c r="A219" s="131" t="s">
        <v>322</v>
      </c>
      <c r="B219" s="131" t="s">
        <v>75</v>
      </c>
      <c r="C219" s="73" t="s">
        <v>96</v>
      </c>
      <c r="D219" s="38">
        <f>D220</f>
        <v>28180.5</v>
      </c>
      <c r="E219" s="38">
        <f t="shared" si="85"/>
        <v>28180.5</v>
      </c>
    </row>
    <row r="220" spans="1:5" ht="12.75">
      <c r="A220" s="131" t="s">
        <v>322</v>
      </c>
      <c r="B220" s="131" t="s">
        <v>122</v>
      </c>
      <c r="C220" s="73" t="s">
        <v>123</v>
      </c>
      <c r="D220" s="38">
        <f>'№ 7'!E346</f>
        <v>28180.5</v>
      </c>
      <c r="E220" s="38">
        <f>'№ 7'!F346</f>
        <v>28180.5</v>
      </c>
    </row>
    <row r="221" spans="1:5" ht="12.75">
      <c r="A221" s="134" t="s">
        <v>327</v>
      </c>
      <c r="B221" s="132"/>
      <c r="C221" s="133" t="s">
        <v>328</v>
      </c>
      <c r="D221" s="38">
        <f>D222</f>
        <v>384.3000000000002</v>
      </c>
      <c r="E221" s="38">
        <f aca="true" t="shared" si="86" ref="E221:E222">E222</f>
        <v>384.3</v>
      </c>
    </row>
    <row r="222" spans="1:5" ht="31.5">
      <c r="A222" s="134" t="s">
        <v>327</v>
      </c>
      <c r="B222" s="134" t="s">
        <v>75</v>
      </c>
      <c r="C222" s="73" t="s">
        <v>96</v>
      </c>
      <c r="D222" s="38">
        <f>D223</f>
        <v>384.3000000000002</v>
      </c>
      <c r="E222" s="38">
        <f t="shared" si="86"/>
        <v>384.3</v>
      </c>
    </row>
    <row r="223" spans="1:5" ht="12.75">
      <c r="A223" s="134" t="s">
        <v>327</v>
      </c>
      <c r="B223" s="134" t="s">
        <v>122</v>
      </c>
      <c r="C223" s="73" t="s">
        <v>123</v>
      </c>
      <c r="D223" s="38">
        <f>'№ 7'!E349</f>
        <v>384.3000000000002</v>
      </c>
      <c r="E223" s="38">
        <f>'№ 7'!F349</f>
        <v>384.3</v>
      </c>
    </row>
    <row r="224" spans="1:5" ht="31.5">
      <c r="A224" s="244" t="s">
        <v>429</v>
      </c>
      <c r="B224" s="244"/>
      <c r="C224" s="73" t="s">
        <v>430</v>
      </c>
      <c r="D224" s="38">
        <f>D225</f>
        <v>17230.1</v>
      </c>
      <c r="E224" s="38">
        <f aca="true" t="shared" si="87" ref="E224:E225">E225</f>
        <v>6562</v>
      </c>
    </row>
    <row r="225" spans="1:5" ht="31.5">
      <c r="A225" s="244" t="s">
        <v>429</v>
      </c>
      <c r="B225" s="244" t="s">
        <v>75</v>
      </c>
      <c r="C225" s="73" t="s">
        <v>96</v>
      </c>
      <c r="D225" s="38">
        <f>D226</f>
        <v>17230.1</v>
      </c>
      <c r="E225" s="38">
        <f t="shared" si="87"/>
        <v>6562</v>
      </c>
    </row>
    <row r="226" spans="1:5" ht="12.75">
      <c r="A226" s="244" t="s">
        <v>429</v>
      </c>
      <c r="B226" s="244" t="s">
        <v>122</v>
      </c>
      <c r="C226" s="73" t="s">
        <v>123</v>
      </c>
      <c r="D226" s="38">
        <f>'№ 7'!E352</f>
        <v>17230.1</v>
      </c>
      <c r="E226" s="38">
        <f>'№ 7'!F352</f>
        <v>6562</v>
      </c>
    </row>
    <row r="227" spans="1:5" ht="50.25" customHeight="1">
      <c r="A227" s="94" t="s">
        <v>280</v>
      </c>
      <c r="B227" s="87"/>
      <c r="C227" s="73" t="s">
        <v>281</v>
      </c>
      <c r="D227" s="38">
        <f>D228</f>
        <v>68226.7</v>
      </c>
      <c r="E227" s="38">
        <f aca="true" t="shared" si="88" ref="E227:E228">E228</f>
        <v>68226.7</v>
      </c>
    </row>
    <row r="228" spans="1:5" ht="31.5">
      <c r="A228" s="94" t="s">
        <v>280</v>
      </c>
      <c r="B228" s="88" t="s">
        <v>75</v>
      </c>
      <c r="C228" s="73" t="s">
        <v>96</v>
      </c>
      <c r="D228" s="38">
        <f>D229</f>
        <v>68226.7</v>
      </c>
      <c r="E228" s="38">
        <f t="shared" si="88"/>
        <v>68226.7</v>
      </c>
    </row>
    <row r="229" spans="1:5" ht="12.75">
      <c r="A229" s="94" t="s">
        <v>280</v>
      </c>
      <c r="B229" s="88" t="s">
        <v>122</v>
      </c>
      <c r="C229" s="73" t="s">
        <v>123</v>
      </c>
      <c r="D229" s="38">
        <f>'№ 7'!E355</f>
        <v>68226.7</v>
      </c>
      <c r="E229" s="38">
        <f>'№ 7'!F355</f>
        <v>68226.7</v>
      </c>
    </row>
    <row r="230" spans="1:5" ht="31.5">
      <c r="A230" s="85" t="s">
        <v>275</v>
      </c>
      <c r="B230" s="83"/>
      <c r="C230" s="84" t="s">
        <v>273</v>
      </c>
      <c r="D230" s="38">
        <f>D231</f>
        <v>7045.1</v>
      </c>
      <c r="E230" s="38">
        <f t="shared" si="83"/>
        <v>7045.1</v>
      </c>
    </row>
    <row r="231" spans="1:5" ht="31.5">
      <c r="A231" s="85" t="s">
        <v>275</v>
      </c>
      <c r="B231" s="85" t="s">
        <v>75</v>
      </c>
      <c r="C231" s="73" t="s">
        <v>96</v>
      </c>
      <c r="D231" s="38">
        <f>D232</f>
        <v>7045.1</v>
      </c>
      <c r="E231" s="38">
        <f t="shared" si="83"/>
        <v>7045.1</v>
      </c>
    </row>
    <row r="232" spans="1:5" ht="12.75">
      <c r="A232" s="85" t="s">
        <v>275</v>
      </c>
      <c r="B232" s="85" t="s">
        <v>122</v>
      </c>
      <c r="C232" s="73" t="s">
        <v>123</v>
      </c>
      <c r="D232" s="38">
        <f>'№ 7'!E358</f>
        <v>7045.1</v>
      </c>
      <c r="E232" s="38">
        <f>'№ 7'!F358</f>
        <v>7045.1</v>
      </c>
    </row>
    <row r="233" spans="1:5" ht="31.5">
      <c r="A233" s="137">
        <v>1260000000</v>
      </c>
      <c r="B233" s="137"/>
      <c r="C233" s="138" t="s">
        <v>342</v>
      </c>
      <c r="D233" s="38">
        <f>D234+D238+D242</f>
        <v>15698.699999999999</v>
      </c>
      <c r="E233" s="38">
        <f>E234+E238+E242</f>
        <v>15698.7</v>
      </c>
    </row>
    <row r="234" spans="1:5" ht="31.5">
      <c r="A234" s="137">
        <v>1260100000</v>
      </c>
      <c r="B234" s="137"/>
      <c r="C234" s="138" t="s">
        <v>343</v>
      </c>
      <c r="D234" s="38">
        <f>D235</f>
        <v>14916.099999999999</v>
      </c>
      <c r="E234" s="38">
        <f aca="true" t="shared" si="89" ref="E234:E236">E235</f>
        <v>14916.1</v>
      </c>
    </row>
    <row r="235" spans="1:5" ht="31.5">
      <c r="A235" s="137">
        <v>1260120010</v>
      </c>
      <c r="B235" s="137"/>
      <c r="C235" s="138" t="s">
        <v>126</v>
      </c>
      <c r="D235" s="38">
        <f>D236</f>
        <v>14916.099999999999</v>
      </c>
      <c r="E235" s="38">
        <f t="shared" si="89"/>
        <v>14916.1</v>
      </c>
    </row>
    <row r="236" spans="1:5" ht="31.5">
      <c r="A236" s="137">
        <v>1260120010</v>
      </c>
      <c r="B236" s="139" t="s">
        <v>97</v>
      </c>
      <c r="C236" s="138" t="s">
        <v>98</v>
      </c>
      <c r="D236" s="38">
        <f>D237</f>
        <v>14916.099999999999</v>
      </c>
      <c r="E236" s="38">
        <f t="shared" si="89"/>
        <v>14916.1</v>
      </c>
    </row>
    <row r="237" spans="1:5" ht="12.75">
      <c r="A237" s="137">
        <v>1260120010</v>
      </c>
      <c r="B237" s="137">
        <v>610</v>
      </c>
      <c r="C237" s="138" t="s">
        <v>106</v>
      </c>
      <c r="D237" s="38">
        <f>'№ 7'!E633</f>
        <v>14916.099999999999</v>
      </c>
      <c r="E237" s="38">
        <f>'№ 7'!F633</f>
        <v>14916.1</v>
      </c>
    </row>
    <row r="238" spans="1:5" ht="31.5">
      <c r="A238" s="208">
        <v>1260400000</v>
      </c>
      <c r="B238" s="208"/>
      <c r="C238" s="209" t="s">
        <v>384</v>
      </c>
      <c r="D238" s="38">
        <f>D239</f>
        <v>426.9999999999998</v>
      </c>
      <c r="E238" s="38">
        <f aca="true" t="shared" si="90" ref="E238:E240">E239</f>
        <v>427</v>
      </c>
    </row>
    <row r="239" spans="1:5" ht="31.5">
      <c r="A239" s="208">
        <v>1260420110</v>
      </c>
      <c r="B239" s="208"/>
      <c r="C239" s="147" t="s">
        <v>385</v>
      </c>
      <c r="D239" s="38">
        <f>D240</f>
        <v>426.9999999999998</v>
      </c>
      <c r="E239" s="38">
        <f t="shared" si="90"/>
        <v>427</v>
      </c>
    </row>
    <row r="240" spans="1:5" ht="31.5">
      <c r="A240" s="208">
        <v>1260420110</v>
      </c>
      <c r="B240" s="212">
        <v>400</v>
      </c>
      <c r="C240" s="73" t="s">
        <v>96</v>
      </c>
      <c r="D240" s="38">
        <f>D241</f>
        <v>426.9999999999998</v>
      </c>
      <c r="E240" s="38">
        <f t="shared" si="90"/>
        <v>427</v>
      </c>
    </row>
    <row r="241" spans="1:7" ht="94.5">
      <c r="A241" s="208">
        <v>1260420110</v>
      </c>
      <c r="B241" s="211">
        <v>460</v>
      </c>
      <c r="C241" s="147" t="s">
        <v>387</v>
      </c>
      <c r="D241" s="38">
        <f>'№ 7'!E637</f>
        <v>426.9999999999998</v>
      </c>
      <c r="E241" s="38">
        <f>'№ 7'!F637</f>
        <v>427</v>
      </c>
      <c r="G241" s="203"/>
    </row>
    <row r="242" spans="1:5" ht="31.5">
      <c r="A242" s="137" t="s">
        <v>345</v>
      </c>
      <c r="B242" s="137"/>
      <c r="C242" s="146" t="s">
        <v>344</v>
      </c>
      <c r="D242" s="38">
        <f>D246+D243</f>
        <v>355.6</v>
      </c>
      <c r="E242" s="38">
        <f aca="true" t="shared" si="91" ref="E242">E246+E243</f>
        <v>355.6</v>
      </c>
    </row>
    <row r="243" spans="1:5" ht="78.75">
      <c r="A243" s="156" t="s">
        <v>378</v>
      </c>
      <c r="B243" s="157"/>
      <c r="C243" s="148" t="s">
        <v>379</v>
      </c>
      <c r="D243" s="38">
        <f>D244</f>
        <v>320</v>
      </c>
      <c r="E243" s="38">
        <f aca="true" t="shared" si="92" ref="E243:E244">E244</f>
        <v>320</v>
      </c>
    </row>
    <row r="244" spans="1:5" ht="31.5">
      <c r="A244" s="156" t="s">
        <v>378</v>
      </c>
      <c r="B244" s="159" t="s">
        <v>97</v>
      </c>
      <c r="C244" s="158" t="s">
        <v>98</v>
      </c>
      <c r="D244" s="38">
        <f>D245</f>
        <v>320</v>
      </c>
      <c r="E244" s="38">
        <f t="shared" si="92"/>
        <v>320</v>
      </c>
    </row>
    <row r="245" spans="1:5" ht="12.75">
      <c r="A245" s="156" t="s">
        <v>378</v>
      </c>
      <c r="B245" s="157">
        <v>610</v>
      </c>
      <c r="C245" s="158" t="s">
        <v>106</v>
      </c>
      <c r="D245" s="38">
        <f>'№ 7'!E641</f>
        <v>320</v>
      </c>
      <c r="E245" s="38">
        <f>'№ 7'!F641</f>
        <v>320</v>
      </c>
    </row>
    <row r="246" spans="1:5" ht="78.75">
      <c r="A246" s="135" t="s">
        <v>346</v>
      </c>
      <c r="B246" s="137"/>
      <c r="C246" s="148" t="s">
        <v>352</v>
      </c>
      <c r="D246" s="38">
        <f>D247</f>
        <v>35.6</v>
      </c>
      <c r="E246" s="38">
        <f aca="true" t="shared" si="93" ref="E246:E247">E247</f>
        <v>35.6</v>
      </c>
    </row>
    <row r="247" spans="1:5" ht="31.5">
      <c r="A247" s="135" t="s">
        <v>346</v>
      </c>
      <c r="B247" s="139" t="s">
        <v>97</v>
      </c>
      <c r="C247" s="138" t="s">
        <v>98</v>
      </c>
      <c r="D247" s="38">
        <f>D248</f>
        <v>35.6</v>
      </c>
      <c r="E247" s="38">
        <f t="shared" si="93"/>
        <v>35.6</v>
      </c>
    </row>
    <row r="248" spans="1:5" ht="12.75">
      <c r="A248" s="135" t="s">
        <v>346</v>
      </c>
      <c r="B248" s="137">
        <v>610</v>
      </c>
      <c r="C248" s="138" t="s">
        <v>106</v>
      </c>
      <c r="D248" s="38">
        <f>'№ 7'!E644</f>
        <v>35.6</v>
      </c>
      <c r="E248" s="38">
        <f>'№ 7'!F644</f>
        <v>35.6</v>
      </c>
    </row>
    <row r="249" spans="1:5" ht="47.25">
      <c r="A249" s="29">
        <v>1300000000</v>
      </c>
      <c r="B249" s="16"/>
      <c r="C249" s="58" t="s">
        <v>203</v>
      </c>
      <c r="D249" s="37">
        <f>D250+D265+D285</f>
        <v>36684.3</v>
      </c>
      <c r="E249" s="37">
        <f>E250+E265+E285</f>
        <v>36637.3</v>
      </c>
    </row>
    <row r="250" spans="1:5" ht="47.25">
      <c r="A250" s="43">
        <v>1310000000</v>
      </c>
      <c r="B250" s="42"/>
      <c r="C250" s="57" t="s">
        <v>243</v>
      </c>
      <c r="D250" s="38">
        <f>D251+D258</f>
        <v>17359.7</v>
      </c>
      <c r="E250" s="38">
        <f aca="true" t="shared" si="94" ref="E250">E251+E258</f>
        <v>17314.1</v>
      </c>
    </row>
    <row r="251" spans="1:10" ht="47.25">
      <c r="A251" s="85" t="s">
        <v>276</v>
      </c>
      <c r="B251" s="25"/>
      <c r="C251" s="84" t="s">
        <v>272</v>
      </c>
      <c r="D251" s="38">
        <f>D255+D252</f>
        <v>16280.8</v>
      </c>
      <c r="E251" s="38">
        <f aca="true" t="shared" si="95" ref="E251">E255+E252</f>
        <v>16280.199999999999</v>
      </c>
      <c r="J251" s="204"/>
    </row>
    <row r="252" spans="1:5" ht="12.75">
      <c r="A252" s="89" t="s">
        <v>289</v>
      </c>
      <c r="B252" s="89"/>
      <c r="C252" s="93" t="s">
        <v>282</v>
      </c>
      <c r="D252" s="38">
        <f>D253</f>
        <v>1184.8</v>
      </c>
      <c r="E252" s="38">
        <f aca="true" t="shared" si="96" ref="E252:E253">E253</f>
        <v>1184.3</v>
      </c>
    </row>
    <row r="253" spans="1:5" ht="31.5">
      <c r="A253" s="89" t="s">
        <v>289</v>
      </c>
      <c r="B253" s="91" t="s">
        <v>72</v>
      </c>
      <c r="C253" s="73" t="s">
        <v>95</v>
      </c>
      <c r="D253" s="38">
        <f>D254</f>
        <v>1184.8</v>
      </c>
      <c r="E253" s="38">
        <f t="shared" si="96"/>
        <v>1184.3</v>
      </c>
    </row>
    <row r="254" spans="1:5" ht="31.5">
      <c r="A254" s="89" t="s">
        <v>289</v>
      </c>
      <c r="B254" s="89">
        <v>240</v>
      </c>
      <c r="C254" s="73" t="s">
        <v>257</v>
      </c>
      <c r="D254" s="38">
        <f>'№ 7'!E274</f>
        <v>1184.8</v>
      </c>
      <c r="E254" s="38">
        <f>'№ 7'!F274</f>
        <v>1184.3</v>
      </c>
    </row>
    <row r="255" spans="1:5" ht="12.75">
      <c r="A255" s="85" t="s">
        <v>277</v>
      </c>
      <c r="B255" s="83"/>
      <c r="C255" s="62" t="s">
        <v>253</v>
      </c>
      <c r="D255" s="38">
        <f>D256</f>
        <v>15096</v>
      </c>
      <c r="E255" s="38">
        <f aca="true" t="shared" si="97" ref="E255:E256">E256</f>
        <v>15095.9</v>
      </c>
    </row>
    <row r="256" spans="1:5" ht="31.5">
      <c r="A256" s="85" t="s">
        <v>277</v>
      </c>
      <c r="B256" s="85" t="s">
        <v>72</v>
      </c>
      <c r="C256" s="84" t="s">
        <v>95</v>
      </c>
      <c r="D256" s="38">
        <f>D257</f>
        <v>15096</v>
      </c>
      <c r="E256" s="38">
        <f t="shared" si="97"/>
        <v>15095.9</v>
      </c>
    </row>
    <row r="257" spans="1:5" ht="31.5">
      <c r="A257" s="85" t="s">
        <v>277</v>
      </c>
      <c r="B257" s="83">
        <v>240</v>
      </c>
      <c r="C257" s="84" t="s">
        <v>257</v>
      </c>
      <c r="D257" s="38">
        <f>'№ 7'!E277</f>
        <v>15096</v>
      </c>
      <c r="E257" s="38">
        <f>'№ 7'!F277</f>
        <v>15095.9</v>
      </c>
    </row>
    <row r="258" spans="1:5" ht="12.75">
      <c r="A258" s="110">
        <v>1310300000</v>
      </c>
      <c r="B258" s="108"/>
      <c r="C258" s="118" t="s">
        <v>316</v>
      </c>
      <c r="D258" s="38">
        <f>D259+D262</f>
        <v>1078.9</v>
      </c>
      <c r="E258" s="38">
        <f aca="true" t="shared" si="98" ref="E258">E259+E262</f>
        <v>1033.9</v>
      </c>
    </row>
    <row r="259" spans="1:5" ht="12.75">
      <c r="A259" s="110">
        <v>1310311180</v>
      </c>
      <c r="B259" s="108"/>
      <c r="C259" s="3" t="s">
        <v>314</v>
      </c>
      <c r="D259" s="38">
        <f>D260</f>
        <v>1000</v>
      </c>
      <c r="E259" s="38">
        <f aca="true" t="shared" si="99" ref="E259:E260">E260</f>
        <v>955</v>
      </c>
    </row>
    <row r="260" spans="1:5" ht="31.5">
      <c r="A260" s="110">
        <v>1310311180</v>
      </c>
      <c r="B260" s="110" t="s">
        <v>72</v>
      </c>
      <c r="C260" s="109" t="s">
        <v>95</v>
      </c>
      <c r="D260" s="38">
        <f>D261</f>
        <v>1000</v>
      </c>
      <c r="E260" s="38">
        <f t="shared" si="99"/>
        <v>955</v>
      </c>
    </row>
    <row r="261" spans="1:5" ht="31.5">
      <c r="A261" s="110">
        <v>1310311180</v>
      </c>
      <c r="B261" s="108">
        <v>240</v>
      </c>
      <c r="C261" s="109" t="s">
        <v>257</v>
      </c>
      <c r="D261" s="38">
        <f>'№ 7'!E281</f>
        <v>1000</v>
      </c>
      <c r="E261" s="38">
        <f>'№ 7'!F281</f>
        <v>955</v>
      </c>
    </row>
    <row r="262" spans="1:5" ht="12.75">
      <c r="A262" s="134">
        <v>1310320100</v>
      </c>
      <c r="B262" s="132"/>
      <c r="C262" s="93" t="s">
        <v>282</v>
      </c>
      <c r="D262" s="38">
        <f>D263</f>
        <v>78.9</v>
      </c>
      <c r="E262" s="38">
        <f aca="true" t="shared" si="100" ref="E262:E263">E263</f>
        <v>78.9</v>
      </c>
    </row>
    <row r="263" spans="1:5" ht="31.5">
      <c r="A263" s="134">
        <v>1310320100</v>
      </c>
      <c r="B263" s="134" t="s">
        <v>72</v>
      </c>
      <c r="C263" s="133" t="s">
        <v>95</v>
      </c>
      <c r="D263" s="38">
        <f>D264</f>
        <v>78.9</v>
      </c>
      <c r="E263" s="38">
        <f t="shared" si="100"/>
        <v>78.9</v>
      </c>
    </row>
    <row r="264" spans="1:5" ht="31.5">
      <c r="A264" s="134">
        <v>1310320100</v>
      </c>
      <c r="B264" s="132">
        <v>240</v>
      </c>
      <c r="C264" s="133" t="s">
        <v>257</v>
      </c>
      <c r="D264" s="38">
        <f>'№ 7'!E284</f>
        <v>78.9</v>
      </c>
      <c r="E264" s="38">
        <f>'№ 7'!F284</f>
        <v>78.9</v>
      </c>
    </row>
    <row r="265" spans="1:5" ht="12.75">
      <c r="A265" s="43">
        <v>1320000000</v>
      </c>
      <c r="B265" s="42"/>
      <c r="C265" s="57" t="s">
        <v>209</v>
      </c>
      <c r="D265" s="38">
        <f>D266</f>
        <v>18962.7</v>
      </c>
      <c r="E265" s="38">
        <f aca="true" t="shared" si="101" ref="E265">E266</f>
        <v>18961.300000000003</v>
      </c>
    </row>
    <row r="266" spans="1:5" ht="12.75">
      <c r="A266" s="43">
        <v>1320200000</v>
      </c>
      <c r="B266" s="42"/>
      <c r="C266" s="57" t="s">
        <v>132</v>
      </c>
      <c r="D266" s="38">
        <f>D267+D270+D273+D276+D282+D279</f>
        <v>18962.7</v>
      </c>
      <c r="E266" s="38">
        <f aca="true" t="shared" si="102" ref="E266">E267+E270+E273+E276+E282+E279</f>
        <v>18961.300000000003</v>
      </c>
    </row>
    <row r="267" spans="1:5" ht="12.75">
      <c r="A267" s="42">
        <v>1320220050</v>
      </c>
      <c r="B267" s="42"/>
      <c r="C267" s="57" t="s">
        <v>133</v>
      </c>
      <c r="D267" s="38">
        <f>D268</f>
        <v>15257.9</v>
      </c>
      <c r="E267" s="38">
        <f aca="true" t="shared" si="103" ref="E267:E268">E268</f>
        <v>15257.9</v>
      </c>
    </row>
    <row r="268" spans="1:5" ht="31.5">
      <c r="A268" s="42">
        <v>1320220050</v>
      </c>
      <c r="B268" s="43" t="s">
        <v>72</v>
      </c>
      <c r="C268" s="57" t="s">
        <v>95</v>
      </c>
      <c r="D268" s="38">
        <f>D269</f>
        <v>15257.9</v>
      </c>
      <c r="E268" s="38">
        <f t="shared" si="103"/>
        <v>15257.9</v>
      </c>
    </row>
    <row r="269" spans="1:5" ht="31.5">
      <c r="A269" s="42">
        <v>1320220050</v>
      </c>
      <c r="B269" s="42">
        <v>240</v>
      </c>
      <c r="C269" s="57" t="s">
        <v>257</v>
      </c>
      <c r="D269" s="38">
        <f>'№ 7'!E289</f>
        <v>15257.9</v>
      </c>
      <c r="E269" s="38">
        <f>'№ 7'!F289</f>
        <v>15257.9</v>
      </c>
    </row>
    <row r="270" spans="1:5" ht="12.75">
      <c r="A270" s="42">
        <v>1320220060</v>
      </c>
      <c r="B270" s="42"/>
      <c r="C270" s="57" t="s">
        <v>134</v>
      </c>
      <c r="D270" s="38">
        <f>D271</f>
        <v>884.4</v>
      </c>
      <c r="E270" s="38">
        <f aca="true" t="shared" si="104" ref="E270:E271">E271</f>
        <v>884.1</v>
      </c>
    </row>
    <row r="271" spans="1:5" ht="31.5">
      <c r="A271" s="42">
        <v>1320220060</v>
      </c>
      <c r="B271" s="43" t="s">
        <v>72</v>
      </c>
      <c r="C271" s="57" t="s">
        <v>95</v>
      </c>
      <c r="D271" s="38">
        <f>D272</f>
        <v>884.4</v>
      </c>
      <c r="E271" s="38">
        <f t="shared" si="104"/>
        <v>884.1</v>
      </c>
    </row>
    <row r="272" spans="1:5" ht="31.5">
      <c r="A272" s="42">
        <v>1320220060</v>
      </c>
      <c r="B272" s="42">
        <v>240</v>
      </c>
      <c r="C272" s="57" t="s">
        <v>257</v>
      </c>
      <c r="D272" s="38">
        <f>'№ 7'!E292</f>
        <v>884.4</v>
      </c>
      <c r="E272" s="38">
        <f>'№ 7'!F292</f>
        <v>884.1</v>
      </c>
    </row>
    <row r="273" spans="1:5" ht="12.75">
      <c r="A273" s="42">
        <v>1320220070</v>
      </c>
      <c r="B273" s="42"/>
      <c r="C273" s="57" t="s">
        <v>135</v>
      </c>
      <c r="D273" s="38">
        <f>D274</f>
        <v>2712.3999999999996</v>
      </c>
      <c r="E273" s="38">
        <f aca="true" t="shared" si="105" ref="E273:E274">E274</f>
        <v>2712.4</v>
      </c>
    </row>
    <row r="274" spans="1:5" ht="31.5">
      <c r="A274" s="42">
        <v>1320220070</v>
      </c>
      <c r="B274" s="43" t="s">
        <v>72</v>
      </c>
      <c r="C274" s="57" t="s">
        <v>95</v>
      </c>
      <c r="D274" s="38">
        <f>D275</f>
        <v>2712.3999999999996</v>
      </c>
      <c r="E274" s="38">
        <f t="shared" si="105"/>
        <v>2712.4</v>
      </c>
    </row>
    <row r="275" spans="1:5" ht="31.5">
      <c r="A275" s="42">
        <v>1320220070</v>
      </c>
      <c r="B275" s="42">
        <v>240</v>
      </c>
      <c r="C275" s="57" t="s">
        <v>257</v>
      </c>
      <c r="D275" s="38">
        <f>'№ 7'!E295</f>
        <v>2712.3999999999996</v>
      </c>
      <c r="E275" s="38">
        <f>'№ 7'!F295</f>
        <v>2712.4</v>
      </c>
    </row>
    <row r="276" spans="1:5" ht="12.75">
      <c r="A276" s="42">
        <v>1320220080</v>
      </c>
      <c r="B276" s="42"/>
      <c r="C276" s="57" t="s">
        <v>136</v>
      </c>
      <c r="D276" s="38">
        <f>D277</f>
        <v>60.7</v>
      </c>
      <c r="E276" s="38">
        <f aca="true" t="shared" si="106" ref="E276:E277">E277</f>
        <v>60.7</v>
      </c>
    </row>
    <row r="277" spans="1:5" ht="31.5">
      <c r="A277" s="42">
        <v>1320220080</v>
      </c>
      <c r="B277" s="43" t="s">
        <v>72</v>
      </c>
      <c r="C277" s="57" t="s">
        <v>95</v>
      </c>
      <c r="D277" s="38">
        <f>D278</f>
        <v>60.7</v>
      </c>
      <c r="E277" s="38">
        <f t="shared" si="106"/>
        <v>60.7</v>
      </c>
    </row>
    <row r="278" spans="1:5" ht="31.5">
      <c r="A278" s="42">
        <v>1320220080</v>
      </c>
      <c r="B278" s="42">
        <v>240</v>
      </c>
      <c r="C278" s="57" t="s">
        <v>257</v>
      </c>
      <c r="D278" s="38">
        <f>'№ 7'!E298</f>
        <v>60.7</v>
      </c>
      <c r="E278" s="38">
        <f>'№ 7'!F298</f>
        <v>60.7</v>
      </c>
    </row>
    <row r="279" spans="1:5" ht="31.5">
      <c r="A279" s="244">
        <v>1320220090</v>
      </c>
      <c r="B279" s="244"/>
      <c r="C279" s="73" t="s">
        <v>431</v>
      </c>
      <c r="D279" s="38">
        <f>D280</f>
        <v>41.9</v>
      </c>
      <c r="E279" s="38">
        <f aca="true" t="shared" si="107" ref="E279:E280">E280</f>
        <v>40.8</v>
      </c>
    </row>
    <row r="280" spans="1:5" ht="31.5">
      <c r="A280" s="244">
        <v>1320220090</v>
      </c>
      <c r="B280" s="244" t="s">
        <v>72</v>
      </c>
      <c r="C280" s="243" t="s">
        <v>95</v>
      </c>
      <c r="D280" s="38">
        <f>D281</f>
        <v>41.9</v>
      </c>
      <c r="E280" s="38">
        <f t="shared" si="107"/>
        <v>40.8</v>
      </c>
    </row>
    <row r="281" spans="1:5" ht="31.5">
      <c r="A281" s="244">
        <v>1320220090</v>
      </c>
      <c r="B281" s="244">
        <v>240</v>
      </c>
      <c r="C281" s="243" t="s">
        <v>257</v>
      </c>
      <c r="D281" s="38">
        <f>'№ 7'!E301</f>
        <v>41.9</v>
      </c>
      <c r="E281" s="38">
        <f>'№ 7'!F301</f>
        <v>40.8</v>
      </c>
    </row>
    <row r="282" spans="1:5" ht="12.75">
      <c r="A282" s="42" t="s">
        <v>138</v>
      </c>
      <c r="B282" s="42"/>
      <c r="C282" s="57" t="s">
        <v>137</v>
      </c>
      <c r="D282" s="38">
        <f>D283</f>
        <v>5.399999999999977</v>
      </c>
      <c r="E282" s="38">
        <f aca="true" t="shared" si="108" ref="E282:E283">E283</f>
        <v>5.4</v>
      </c>
    </row>
    <row r="283" spans="1:5" ht="31.5">
      <c r="A283" s="42" t="s">
        <v>138</v>
      </c>
      <c r="B283" s="43" t="s">
        <v>72</v>
      </c>
      <c r="C283" s="57" t="s">
        <v>95</v>
      </c>
      <c r="D283" s="38">
        <f>D284</f>
        <v>5.399999999999977</v>
      </c>
      <c r="E283" s="38">
        <f t="shared" si="108"/>
        <v>5.4</v>
      </c>
    </row>
    <row r="284" spans="1:5" ht="31.5">
      <c r="A284" s="42" t="s">
        <v>138</v>
      </c>
      <c r="B284" s="42">
        <v>240</v>
      </c>
      <c r="C284" s="57" t="s">
        <v>257</v>
      </c>
      <c r="D284" s="38">
        <f>'№ 7'!E304</f>
        <v>5.399999999999977</v>
      </c>
      <c r="E284" s="38">
        <f>'№ 7'!F304</f>
        <v>5.4</v>
      </c>
    </row>
    <row r="285" spans="1:5" ht="12.75">
      <c r="A285" s="43">
        <v>1330000000</v>
      </c>
      <c r="B285" s="42"/>
      <c r="C285" s="57" t="s">
        <v>127</v>
      </c>
      <c r="D285" s="38">
        <f>D286</f>
        <v>361.9</v>
      </c>
      <c r="E285" s="38">
        <f aca="true" t="shared" si="109" ref="E285">E286</f>
        <v>361.9</v>
      </c>
    </row>
    <row r="286" spans="1:5" ht="47.25">
      <c r="A286" s="43">
        <v>1330200000</v>
      </c>
      <c r="B286" s="42"/>
      <c r="C286" s="57" t="s">
        <v>244</v>
      </c>
      <c r="D286" s="38">
        <f>D287+D290</f>
        <v>361.9</v>
      </c>
      <c r="E286" s="38">
        <f aca="true" t="shared" si="110" ref="E286">E287+E290</f>
        <v>361.9</v>
      </c>
    </row>
    <row r="287" spans="1:5" ht="12.75">
      <c r="A287" s="43">
        <v>1330220090</v>
      </c>
      <c r="B287" s="42"/>
      <c r="C287" s="57" t="s">
        <v>139</v>
      </c>
      <c r="D287" s="38">
        <f>D288</f>
        <v>73.9</v>
      </c>
      <c r="E287" s="38">
        <f aca="true" t="shared" si="111" ref="E287:E288">E288</f>
        <v>73.9</v>
      </c>
    </row>
    <row r="288" spans="1:5" ht="31.5">
      <c r="A288" s="43">
        <v>1330220090</v>
      </c>
      <c r="B288" s="43" t="s">
        <v>72</v>
      </c>
      <c r="C288" s="57" t="s">
        <v>95</v>
      </c>
      <c r="D288" s="38">
        <f>D289</f>
        <v>73.9</v>
      </c>
      <c r="E288" s="38">
        <f t="shared" si="111"/>
        <v>73.9</v>
      </c>
    </row>
    <row r="289" spans="1:5" ht="31.5">
      <c r="A289" s="43">
        <v>1330220090</v>
      </c>
      <c r="B289" s="42">
        <v>240</v>
      </c>
      <c r="C289" s="57" t="s">
        <v>257</v>
      </c>
      <c r="D289" s="38">
        <f>'№ 7'!E309</f>
        <v>73.9</v>
      </c>
      <c r="E289" s="38">
        <f>'№ 7'!F309</f>
        <v>73.9</v>
      </c>
    </row>
    <row r="290" spans="1:5" ht="12.75">
      <c r="A290" s="192">
        <v>1330220100</v>
      </c>
      <c r="B290" s="193"/>
      <c r="C290" s="50" t="s">
        <v>380</v>
      </c>
      <c r="D290" s="38">
        <f>D291</f>
        <v>288</v>
      </c>
      <c r="E290" s="38">
        <f aca="true" t="shared" si="112" ref="E290:E291">E291</f>
        <v>288</v>
      </c>
    </row>
    <row r="291" spans="1:5" ht="31.5">
      <c r="A291" s="192">
        <v>1330220100</v>
      </c>
      <c r="B291" s="142" t="s">
        <v>72</v>
      </c>
      <c r="C291" s="191" t="s">
        <v>95</v>
      </c>
      <c r="D291" s="38">
        <f>D292</f>
        <v>288</v>
      </c>
      <c r="E291" s="38">
        <f t="shared" si="112"/>
        <v>288</v>
      </c>
    </row>
    <row r="292" spans="1:5" ht="31.5">
      <c r="A292" s="192">
        <v>1330220100</v>
      </c>
      <c r="B292" s="193">
        <v>240</v>
      </c>
      <c r="C292" s="191" t="s">
        <v>257</v>
      </c>
      <c r="D292" s="38">
        <f>'№ 7'!E312</f>
        <v>288</v>
      </c>
      <c r="E292" s="38">
        <f>'№ 7'!F312</f>
        <v>288</v>
      </c>
    </row>
    <row r="293" spans="1:5" ht="47.25">
      <c r="A293" s="29">
        <v>1400000000</v>
      </c>
      <c r="B293" s="42"/>
      <c r="C293" s="58" t="s">
        <v>204</v>
      </c>
      <c r="D293" s="37">
        <f>D294+D323+D338</f>
        <v>89775.59999999999</v>
      </c>
      <c r="E293" s="37">
        <f>E294+E323+E338</f>
        <v>89371.3</v>
      </c>
    </row>
    <row r="294" spans="1:5" ht="12.75">
      <c r="A294" s="43">
        <v>1410000000</v>
      </c>
      <c r="B294" s="42"/>
      <c r="C294" s="57" t="s">
        <v>128</v>
      </c>
      <c r="D294" s="38">
        <f>D295+D299+D319+D309</f>
        <v>83297.29999999999</v>
      </c>
      <c r="E294" s="38">
        <f>E295+E299+E319+E309</f>
        <v>83047</v>
      </c>
    </row>
    <row r="295" spans="1:5" ht="12.75">
      <c r="A295" s="43">
        <v>1410100000</v>
      </c>
      <c r="B295" s="25"/>
      <c r="C295" s="57" t="s">
        <v>205</v>
      </c>
      <c r="D295" s="38">
        <f>D296</f>
        <v>25457.199999999997</v>
      </c>
      <c r="E295" s="38">
        <f aca="true" t="shared" si="113" ref="E295:E297">E296</f>
        <v>25457.2</v>
      </c>
    </row>
    <row r="296" spans="1:5" ht="31.5">
      <c r="A296" s="42">
        <v>1410120100</v>
      </c>
      <c r="B296" s="42"/>
      <c r="C296" s="57" t="s">
        <v>129</v>
      </c>
      <c r="D296" s="38">
        <f>D297</f>
        <v>25457.199999999997</v>
      </c>
      <c r="E296" s="38">
        <f t="shared" si="113"/>
        <v>25457.2</v>
      </c>
    </row>
    <row r="297" spans="1:5" ht="31.5">
      <c r="A297" s="42">
        <v>1410120100</v>
      </c>
      <c r="B297" s="43" t="s">
        <v>72</v>
      </c>
      <c r="C297" s="57" t="s">
        <v>95</v>
      </c>
      <c r="D297" s="38">
        <f>D298</f>
        <v>25457.199999999997</v>
      </c>
      <c r="E297" s="38">
        <f t="shared" si="113"/>
        <v>25457.2</v>
      </c>
    </row>
    <row r="298" spans="1:5" ht="31.5">
      <c r="A298" s="42">
        <v>1410120100</v>
      </c>
      <c r="B298" s="42">
        <v>240</v>
      </c>
      <c r="C298" s="57" t="s">
        <v>257</v>
      </c>
      <c r="D298" s="38">
        <f>'№ 7'!E192</f>
        <v>25457.199999999997</v>
      </c>
      <c r="E298" s="38">
        <f>'№ 7'!F192</f>
        <v>25457.2</v>
      </c>
    </row>
    <row r="299" spans="1:5" ht="47.25">
      <c r="A299" s="43">
        <v>1410200000</v>
      </c>
      <c r="B299" s="42"/>
      <c r="C299" s="57" t="s">
        <v>206</v>
      </c>
      <c r="D299" s="38">
        <f>D303+D300+D306</f>
        <v>48277.3</v>
      </c>
      <c r="E299" s="38">
        <f aca="true" t="shared" si="114" ref="E299">E303+E300+E306</f>
        <v>48277.3</v>
      </c>
    </row>
    <row r="300" spans="1:5" ht="31.5">
      <c r="A300" s="101">
        <v>1410211050</v>
      </c>
      <c r="B300" s="101"/>
      <c r="C300" s="102" t="s">
        <v>300</v>
      </c>
      <c r="D300" s="38">
        <f>D301</f>
        <v>36506.8</v>
      </c>
      <c r="E300" s="38">
        <f aca="true" t="shared" si="115" ref="E300:E301">E301</f>
        <v>36506.8</v>
      </c>
    </row>
    <row r="301" spans="1:5" ht="31.5">
      <c r="A301" s="101">
        <v>1410211050</v>
      </c>
      <c r="B301" s="103" t="s">
        <v>72</v>
      </c>
      <c r="C301" s="102" t="s">
        <v>95</v>
      </c>
      <c r="D301" s="38">
        <f>D302</f>
        <v>36506.8</v>
      </c>
      <c r="E301" s="38">
        <f t="shared" si="115"/>
        <v>36506.8</v>
      </c>
    </row>
    <row r="302" spans="1:5" ht="31.5">
      <c r="A302" s="101">
        <v>1410211050</v>
      </c>
      <c r="B302" s="101">
        <v>240</v>
      </c>
      <c r="C302" s="102" t="s">
        <v>257</v>
      </c>
      <c r="D302" s="38">
        <f>'№ 7'!E196</f>
        <v>36506.8</v>
      </c>
      <c r="E302" s="38">
        <f>'№ 7'!F196</f>
        <v>36506.8</v>
      </c>
    </row>
    <row r="303" spans="1:5" ht="12.75">
      <c r="A303" s="89">
        <v>1410220110</v>
      </c>
      <c r="B303" s="89"/>
      <c r="C303" s="73" t="s">
        <v>283</v>
      </c>
      <c r="D303" s="38">
        <f>D304</f>
        <v>1262</v>
      </c>
      <c r="E303" s="38">
        <f aca="true" t="shared" si="116" ref="E303:E304">E304</f>
        <v>1262</v>
      </c>
    </row>
    <row r="304" spans="1:5" ht="31.5">
      <c r="A304" s="89">
        <v>1410220110</v>
      </c>
      <c r="B304" s="91" t="s">
        <v>72</v>
      </c>
      <c r="C304" s="73" t="s">
        <v>95</v>
      </c>
      <c r="D304" s="38">
        <f>D305</f>
        <v>1262</v>
      </c>
      <c r="E304" s="38">
        <f t="shared" si="116"/>
        <v>1262</v>
      </c>
    </row>
    <row r="305" spans="1:5" ht="31.5">
      <c r="A305" s="89">
        <v>1410220110</v>
      </c>
      <c r="B305" s="89">
        <v>240</v>
      </c>
      <c r="C305" s="73" t="s">
        <v>257</v>
      </c>
      <c r="D305" s="38">
        <f>'№ 7'!E199</f>
        <v>1262</v>
      </c>
      <c r="E305" s="38">
        <f>'№ 7'!F199</f>
        <v>1262</v>
      </c>
    </row>
    <row r="306" spans="1:5" ht="31.5">
      <c r="A306" s="132" t="s">
        <v>329</v>
      </c>
      <c r="B306" s="132"/>
      <c r="C306" s="133" t="s">
        <v>330</v>
      </c>
      <c r="D306" s="38">
        <f>D307</f>
        <v>10508.5</v>
      </c>
      <c r="E306" s="38">
        <f aca="true" t="shared" si="117" ref="E306:E307">E307</f>
        <v>10508.5</v>
      </c>
    </row>
    <row r="307" spans="1:5" ht="31.5">
      <c r="A307" s="132" t="s">
        <v>329</v>
      </c>
      <c r="B307" s="134" t="s">
        <v>72</v>
      </c>
      <c r="C307" s="133" t="s">
        <v>95</v>
      </c>
      <c r="D307" s="38">
        <f>D308</f>
        <v>10508.5</v>
      </c>
      <c r="E307" s="38">
        <f t="shared" si="117"/>
        <v>10508.5</v>
      </c>
    </row>
    <row r="308" spans="1:5" ht="31.5">
      <c r="A308" s="132" t="s">
        <v>329</v>
      </c>
      <c r="B308" s="132">
        <v>240</v>
      </c>
      <c r="C308" s="133" t="s">
        <v>257</v>
      </c>
      <c r="D308" s="38">
        <f>'№ 7'!E202</f>
        <v>10508.5</v>
      </c>
      <c r="E308" s="38">
        <f>'№ 7'!F202</f>
        <v>10508.5</v>
      </c>
    </row>
    <row r="309" spans="1:5" ht="47.25">
      <c r="A309" s="101">
        <v>1410300000</v>
      </c>
      <c r="B309" s="101"/>
      <c r="C309" s="102" t="s">
        <v>285</v>
      </c>
      <c r="D309" s="38">
        <f>D310+D316+D313</f>
        <v>7201.900000000001</v>
      </c>
      <c r="E309" s="38">
        <f aca="true" t="shared" si="118" ref="E309">E310+E316+E313</f>
        <v>7201.7</v>
      </c>
    </row>
    <row r="310" spans="1:5" ht="47.25">
      <c r="A310" s="101">
        <v>1410311020</v>
      </c>
      <c r="B310" s="101"/>
      <c r="C310" s="102" t="s">
        <v>301</v>
      </c>
      <c r="D310" s="38">
        <f>D311</f>
        <v>5149.6</v>
      </c>
      <c r="E310" s="38">
        <f aca="true" t="shared" si="119" ref="E310:E311">E311</f>
        <v>5149.6</v>
      </c>
    </row>
    <row r="311" spans="1:5" ht="31.5">
      <c r="A311" s="101">
        <v>1410311020</v>
      </c>
      <c r="B311" s="103" t="s">
        <v>72</v>
      </c>
      <c r="C311" s="102" t="s">
        <v>95</v>
      </c>
      <c r="D311" s="38">
        <f>D312</f>
        <v>5149.6</v>
      </c>
      <c r="E311" s="38">
        <f t="shared" si="119"/>
        <v>5149.6</v>
      </c>
    </row>
    <row r="312" spans="1:5" ht="31.5">
      <c r="A312" s="101">
        <v>1410311020</v>
      </c>
      <c r="B312" s="101">
        <v>240</v>
      </c>
      <c r="C312" s="102" t="s">
        <v>257</v>
      </c>
      <c r="D312" s="38">
        <f>'№ 7'!E206</f>
        <v>5149.6</v>
      </c>
      <c r="E312" s="38">
        <f>'№ 7'!F206</f>
        <v>5149.6</v>
      </c>
    </row>
    <row r="313" spans="1:5" ht="12.75">
      <c r="A313" s="195">
        <v>1410320110</v>
      </c>
      <c r="B313" s="195"/>
      <c r="C313" s="73" t="s">
        <v>283</v>
      </c>
      <c r="D313" s="38">
        <f>D314</f>
        <v>63.6</v>
      </c>
      <c r="E313" s="38">
        <f aca="true" t="shared" si="120" ref="E313:E314">E314</f>
        <v>63.4</v>
      </c>
    </row>
    <row r="314" spans="1:5" ht="31.5">
      <c r="A314" s="195">
        <v>1410320110</v>
      </c>
      <c r="B314" s="196" t="s">
        <v>72</v>
      </c>
      <c r="C314" s="73" t="s">
        <v>95</v>
      </c>
      <c r="D314" s="38">
        <f>D315</f>
        <v>63.6</v>
      </c>
      <c r="E314" s="38">
        <f t="shared" si="120"/>
        <v>63.4</v>
      </c>
    </row>
    <row r="315" spans="1:5" ht="31.5">
      <c r="A315" s="195">
        <v>1410320110</v>
      </c>
      <c r="B315" s="195">
        <v>240</v>
      </c>
      <c r="C315" s="73" t="s">
        <v>257</v>
      </c>
      <c r="D315" s="38">
        <f>'№ 7'!E209</f>
        <v>63.6</v>
      </c>
      <c r="E315" s="38">
        <f>'№ 7'!F209</f>
        <v>63.4</v>
      </c>
    </row>
    <row r="316" spans="1:5" ht="47.25">
      <c r="A316" s="132" t="s">
        <v>331</v>
      </c>
      <c r="B316" s="132"/>
      <c r="C316" s="133" t="s">
        <v>332</v>
      </c>
      <c r="D316" s="38">
        <f>D317</f>
        <v>1988.7</v>
      </c>
      <c r="E316" s="38">
        <f aca="true" t="shared" si="121" ref="E316:E317">E317</f>
        <v>1988.7</v>
      </c>
    </row>
    <row r="317" spans="1:5" ht="31.5">
      <c r="A317" s="132" t="s">
        <v>331</v>
      </c>
      <c r="B317" s="134" t="s">
        <v>72</v>
      </c>
      <c r="C317" s="133" t="s">
        <v>95</v>
      </c>
      <c r="D317" s="38">
        <f>D318</f>
        <v>1988.7</v>
      </c>
      <c r="E317" s="38">
        <f t="shared" si="121"/>
        <v>1988.7</v>
      </c>
    </row>
    <row r="318" spans="1:5" ht="31.5">
      <c r="A318" s="132" t="s">
        <v>331</v>
      </c>
      <c r="B318" s="132">
        <v>240</v>
      </c>
      <c r="C318" s="133" t="s">
        <v>257</v>
      </c>
      <c r="D318" s="38">
        <f>'№ 7'!E212</f>
        <v>1988.7</v>
      </c>
      <c r="E318" s="38">
        <f>'№ 7'!F212</f>
        <v>1988.7</v>
      </c>
    </row>
    <row r="319" spans="1:5" ht="31.5">
      <c r="A319" s="101">
        <v>1410400000</v>
      </c>
      <c r="B319" s="101"/>
      <c r="C319" s="102" t="s">
        <v>292</v>
      </c>
      <c r="D319" s="38">
        <f>D320</f>
        <v>2360.8999999999996</v>
      </c>
      <c r="E319" s="38">
        <f aca="true" t="shared" si="122" ref="E319">E320</f>
        <v>2110.7999999999997</v>
      </c>
    </row>
    <row r="320" spans="1:5" ht="31.5">
      <c r="A320" s="101">
        <v>1410420010</v>
      </c>
      <c r="B320" s="101"/>
      <c r="C320" s="73" t="s">
        <v>291</v>
      </c>
      <c r="D320" s="22">
        <f>D321</f>
        <v>2360.8999999999996</v>
      </c>
      <c r="E320" s="22">
        <f aca="true" t="shared" si="123" ref="E320:E321">E321</f>
        <v>2110.7999999999997</v>
      </c>
    </row>
    <row r="321" spans="1:5" ht="31.5">
      <c r="A321" s="117">
        <v>1410420010</v>
      </c>
      <c r="B321" s="119" t="s">
        <v>75</v>
      </c>
      <c r="C321" s="73" t="s">
        <v>96</v>
      </c>
      <c r="D321" s="22">
        <f>D322</f>
        <v>2360.8999999999996</v>
      </c>
      <c r="E321" s="22">
        <f t="shared" si="123"/>
        <v>2110.7999999999997</v>
      </c>
    </row>
    <row r="322" spans="1:5" ht="12.75">
      <c r="A322" s="117">
        <v>1410420010</v>
      </c>
      <c r="B322" s="119" t="s">
        <v>122</v>
      </c>
      <c r="C322" s="73" t="s">
        <v>123</v>
      </c>
      <c r="D322" s="22">
        <f>'№ 7'!E216</f>
        <v>2360.8999999999996</v>
      </c>
      <c r="E322" s="22">
        <f>'№ 7'!F216</f>
        <v>2110.7999999999997</v>
      </c>
    </row>
    <row r="323" spans="1:5" ht="12.75">
      <c r="A323" s="43">
        <v>1420000000</v>
      </c>
      <c r="B323" s="42"/>
      <c r="C323" s="57" t="s">
        <v>130</v>
      </c>
      <c r="D323" s="38">
        <f>D324+D328</f>
        <v>4119.3</v>
      </c>
      <c r="E323" s="38">
        <f aca="true" t="shared" si="124" ref="E323">E324+E328</f>
        <v>3967.2999999999997</v>
      </c>
    </row>
    <row r="324" spans="1:5" ht="31.5">
      <c r="A324" s="43">
        <v>1420100000</v>
      </c>
      <c r="B324" s="42"/>
      <c r="C324" s="57" t="s">
        <v>207</v>
      </c>
      <c r="D324" s="38">
        <f>D325</f>
        <v>773.5000000000002</v>
      </c>
      <c r="E324" s="38">
        <f aca="true" t="shared" si="125" ref="E324">E325</f>
        <v>773.5</v>
      </c>
    </row>
    <row r="325" spans="1:5" ht="12.75">
      <c r="A325" s="42">
        <v>1420120120</v>
      </c>
      <c r="B325" s="42"/>
      <c r="C325" s="57" t="s">
        <v>131</v>
      </c>
      <c r="D325" s="38">
        <f>D326</f>
        <v>773.5000000000002</v>
      </c>
      <c r="E325" s="38">
        <f aca="true" t="shared" si="126" ref="E325:E326">E326</f>
        <v>773.5</v>
      </c>
    </row>
    <row r="326" spans="1:5" ht="31.5">
      <c r="A326" s="42">
        <v>1420120120</v>
      </c>
      <c r="B326" s="43" t="s">
        <v>72</v>
      </c>
      <c r="C326" s="57" t="s">
        <v>95</v>
      </c>
      <c r="D326" s="38">
        <f>D327</f>
        <v>773.5000000000002</v>
      </c>
      <c r="E326" s="38">
        <f t="shared" si="126"/>
        <v>773.5</v>
      </c>
    </row>
    <row r="327" spans="1:5" ht="31.5">
      <c r="A327" s="42">
        <v>1420120120</v>
      </c>
      <c r="B327" s="42">
        <v>240</v>
      </c>
      <c r="C327" s="57" t="s">
        <v>257</v>
      </c>
      <c r="D327" s="38">
        <f>'№ 7'!E221</f>
        <v>773.5000000000002</v>
      </c>
      <c r="E327" s="38">
        <f>'№ 7'!F221</f>
        <v>773.5</v>
      </c>
    </row>
    <row r="328" spans="1:5" ht="47.25">
      <c r="A328" s="105" t="s">
        <v>302</v>
      </c>
      <c r="B328" s="105"/>
      <c r="C328" s="106" t="s">
        <v>303</v>
      </c>
      <c r="D328" s="38">
        <f>D329+D335+D332</f>
        <v>3345.8</v>
      </c>
      <c r="E328" s="38">
        <f aca="true" t="shared" si="127" ref="E328">E329+E335+E332</f>
        <v>3193.7999999999997</v>
      </c>
    </row>
    <row r="329" spans="1:5" ht="47.25">
      <c r="A329" s="105" t="s">
        <v>304</v>
      </c>
      <c r="B329" s="105"/>
      <c r="C329" s="106" t="s">
        <v>305</v>
      </c>
      <c r="D329" s="38">
        <f>D330</f>
        <v>2668.3</v>
      </c>
      <c r="E329" s="38">
        <f aca="true" t="shared" si="128" ref="E329:E330">E330</f>
        <v>2546.7</v>
      </c>
    </row>
    <row r="330" spans="1:5" ht="31.5">
      <c r="A330" s="105" t="s">
        <v>304</v>
      </c>
      <c r="B330" s="107" t="s">
        <v>72</v>
      </c>
      <c r="C330" s="106" t="s">
        <v>95</v>
      </c>
      <c r="D330" s="38">
        <f>D331</f>
        <v>2668.3</v>
      </c>
      <c r="E330" s="38">
        <f t="shared" si="128"/>
        <v>2546.7</v>
      </c>
    </row>
    <row r="331" spans="1:5" ht="31.5">
      <c r="A331" s="105" t="s">
        <v>304</v>
      </c>
      <c r="B331" s="105">
        <v>240</v>
      </c>
      <c r="C331" s="106" t="s">
        <v>257</v>
      </c>
      <c r="D331" s="38">
        <f>'№ 7'!E225</f>
        <v>2668.3</v>
      </c>
      <c r="E331" s="38">
        <f>'№ 7'!F225</f>
        <v>2546.7</v>
      </c>
    </row>
    <row r="332" spans="1:5" ht="12.75">
      <c r="A332" s="205" t="s">
        <v>383</v>
      </c>
      <c r="B332" s="205"/>
      <c r="C332" s="73" t="s">
        <v>283</v>
      </c>
      <c r="D332" s="38">
        <f>D333</f>
        <v>10.4</v>
      </c>
      <c r="E332" s="38">
        <f aca="true" t="shared" si="129" ref="E332:E333">E333</f>
        <v>10.4</v>
      </c>
    </row>
    <row r="333" spans="1:5" ht="31.5">
      <c r="A333" s="205" t="s">
        <v>383</v>
      </c>
      <c r="B333" s="207" t="s">
        <v>72</v>
      </c>
      <c r="C333" s="206" t="s">
        <v>95</v>
      </c>
      <c r="D333" s="38">
        <f>D334</f>
        <v>10.4</v>
      </c>
      <c r="E333" s="38">
        <f t="shared" si="129"/>
        <v>10.4</v>
      </c>
    </row>
    <row r="334" spans="1:5" ht="31.5">
      <c r="A334" s="205" t="s">
        <v>383</v>
      </c>
      <c r="B334" s="205">
        <v>240</v>
      </c>
      <c r="C334" s="206" t="s">
        <v>257</v>
      </c>
      <c r="D334" s="38">
        <f>'№ 7'!E228</f>
        <v>10.4</v>
      </c>
      <c r="E334" s="38">
        <f>'№ 7'!F228</f>
        <v>10.4</v>
      </c>
    </row>
    <row r="335" spans="1:5" ht="47.25">
      <c r="A335" s="100" t="s">
        <v>290</v>
      </c>
      <c r="B335" s="89"/>
      <c r="C335" s="90" t="s">
        <v>284</v>
      </c>
      <c r="D335" s="38">
        <f>D336</f>
        <v>667.1</v>
      </c>
      <c r="E335" s="38">
        <f aca="true" t="shared" si="130" ref="E335:E336">E336</f>
        <v>636.7</v>
      </c>
    </row>
    <row r="336" spans="1:5" ht="31.5">
      <c r="A336" s="100" t="s">
        <v>290</v>
      </c>
      <c r="B336" s="91" t="s">
        <v>72</v>
      </c>
      <c r="C336" s="90" t="s">
        <v>95</v>
      </c>
      <c r="D336" s="38">
        <f>D337</f>
        <v>667.1</v>
      </c>
      <c r="E336" s="38">
        <f t="shared" si="130"/>
        <v>636.7</v>
      </c>
    </row>
    <row r="337" spans="1:5" ht="31.5">
      <c r="A337" s="100" t="s">
        <v>290</v>
      </c>
      <c r="B337" s="89">
        <v>240</v>
      </c>
      <c r="C337" s="90" t="s">
        <v>257</v>
      </c>
      <c r="D337" s="38">
        <f>'№ 7'!E231</f>
        <v>667.1</v>
      </c>
      <c r="E337" s="38">
        <f>'№ 7'!F231</f>
        <v>636.7</v>
      </c>
    </row>
    <row r="338" spans="1:5" ht="12.75">
      <c r="A338" s="103">
        <v>1430000000</v>
      </c>
      <c r="B338" s="101"/>
      <c r="C338" s="8" t="s">
        <v>295</v>
      </c>
      <c r="D338" s="38">
        <f>D339+D343</f>
        <v>2359</v>
      </c>
      <c r="E338" s="38">
        <f>E339+E343</f>
        <v>2357</v>
      </c>
    </row>
    <row r="339" spans="1:5" ht="31.5">
      <c r="A339" s="101">
        <v>1430100000</v>
      </c>
      <c r="B339" s="101"/>
      <c r="C339" s="8" t="s">
        <v>296</v>
      </c>
      <c r="D339" s="38">
        <f>D340</f>
        <v>789</v>
      </c>
      <c r="E339" s="38">
        <f aca="true" t="shared" si="131" ref="E339">E340</f>
        <v>789</v>
      </c>
    </row>
    <row r="340" spans="1:5" ht="12.75">
      <c r="A340" s="101">
        <v>1430120100</v>
      </c>
      <c r="B340" s="101"/>
      <c r="C340" s="50" t="s">
        <v>297</v>
      </c>
      <c r="D340" s="38">
        <f>D341</f>
        <v>789</v>
      </c>
      <c r="E340" s="38">
        <f aca="true" t="shared" si="132" ref="E340:E341">E341</f>
        <v>789</v>
      </c>
    </row>
    <row r="341" spans="1:5" ht="31.5">
      <c r="A341" s="101">
        <v>1430120100</v>
      </c>
      <c r="B341" s="103" t="s">
        <v>75</v>
      </c>
      <c r="C341" s="73" t="s">
        <v>96</v>
      </c>
      <c r="D341" s="38">
        <f>D342</f>
        <v>789</v>
      </c>
      <c r="E341" s="38">
        <f t="shared" si="132"/>
        <v>789</v>
      </c>
    </row>
    <row r="342" spans="1:5" ht="12.75">
      <c r="A342" s="101">
        <v>1430120100</v>
      </c>
      <c r="B342" s="103" t="s">
        <v>122</v>
      </c>
      <c r="C342" s="73" t="s">
        <v>123</v>
      </c>
      <c r="D342" s="38">
        <f>'№ 7'!E263</f>
        <v>789</v>
      </c>
      <c r="E342" s="38">
        <f>'№ 7'!F263</f>
        <v>789</v>
      </c>
    </row>
    <row r="343" spans="1:5" ht="31.5">
      <c r="A343" s="208">
        <v>1430400000</v>
      </c>
      <c r="B343" s="210"/>
      <c r="C343" s="73" t="s">
        <v>386</v>
      </c>
      <c r="D343" s="38">
        <f>D344</f>
        <v>1570</v>
      </c>
      <c r="E343" s="38">
        <f aca="true" t="shared" si="133" ref="E343:E345">E344</f>
        <v>1568</v>
      </c>
    </row>
    <row r="344" spans="1:5" ht="12.75">
      <c r="A344" s="208">
        <v>1430420100</v>
      </c>
      <c r="B344" s="210"/>
      <c r="C344" s="73" t="s">
        <v>297</v>
      </c>
      <c r="D344" s="38">
        <f>D345</f>
        <v>1570</v>
      </c>
      <c r="E344" s="38">
        <f t="shared" si="133"/>
        <v>1568</v>
      </c>
    </row>
    <row r="345" spans="1:5" ht="31.5">
      <c r="A345" s="208">
        <v>1430420100</v>
      </c>
      <c r="B345" s="210" t="s">
        <v>75</v>
      </c>
      <c r="C345" s="73" t="s">
        <v>96</v>
      </c>
      <c r="D345" s="38">
        <f>D346</f>
        <v>1570</v>
      </c>
      <c r="E345" s="38">
        <f t="shared" si="133"/>
        <v>1568</v>
      </c>
    </row>
    <row r="346" spans="1:5" ht="12.75">
      <c r="A346" s="208">
        <v>1430420100</v>
      </c>
      <c r="B346" s="210" t="s">
        <v>122</v>
      </c>
      <c r="C346" s="73" t="s">
        <v>123</v>
      </c>
      <c r="D346" s="38">
        <f>'№ 7'!E267</f>
        <v>1570</v>
      </c>
      <c r="E346" s="38">
        <f>'№ 7'!F267</f>
        <v>1568</v>
      </c>
    </row>
    <row r="347" spans="1:5" ht="31.5">
      <c r="A347" s="29">
        <v>1500000000</v>
      </c>
      <c r="B347" s="16"/>
      <c r="C347" s="58" t="s">
        <v>198</v>
      </c>
      <c r="D347" s="37">
        <f>D348+D357</f>
        <v>8259</v>
      </c>
      <c r="E347" s="37">
        <f aca="true" t="shared" si="134" ref="E347">E348+E357</f>
        <v>8239</v>
      </c>
    </row>
    <row r="348" spans="1:5" ht="12.75">
      <c r="A348" s="42">
        <v>1510000000</v>
      </c>
      <c r="B348" s="42"/>
      <c r="C348" s="57" t="s">
        <v>167</v>
      </c>
      <c r="D348" s="38">
        <f>D349+D353</f>
        <v>7847.599999999999</v>
      </c>
      <c r="E348" s="38">
        <f>E349+E353</f>
        <v>7827.599999999999</v>
      </c>
    </row>
    <row r="349" spans="1:5" ht="47.25">
      <c r="A349" s="42">
        <v>1510100000</v>
      </c>
      <c r="B349" s="42"/>
      <c r="C349" s="57" t="s">
        <v>201</v>
      </c>
      <c r="D349" s="38">
        <f>D350</f>
        <v>7736.2</v>
      </c>
      <c r="E349" s="38">
        <f aca="true" t="shared" si="135" ref="E349">E350</f>
        <v>7736.2</v>
      </c>
    </row>
    <row r="350" spans="1:5" ht="31.5">
      <c r="A350" s="42">
        <v>1510120010</v>
      </c>
      <c r="B350" s="42"/>
      <c r="C350" s="57" t="s">
        <v>126</v>
      </c>
      <c r="D350" s="38">
        <f>D351</f>
        <v>7736.2</v>
      </c>
      <c r="E350" s="38">
        <f aca="true" t="shared" si="136" ref="E350:E351">E351</f>
        <v>7736.2</v>
      </c>
    </row>
    <row r="351" spans="1:5" ht="31.5">
      <c r="A351" s="42">
        <v>1510120010</v>
      </c>
      <c r="B351" s="42">
        <v>600</v>
      </c>
      <c r="C351" s="57" t="s">
        <v>86</v>
      </c>
      <c r="D351" s="38">
        <f>D352</f>
        <v>7736.2</v>
      </c>
      <c r="E351" s="38">
        <f t="shared" si="136"/>
        <v>7736.2</v>
      </c>
    </row>
    <row r="352" spans="1:5" ht="12.75">
      <c r="A352" s="42">
        <v>1510120010</v>
      </c>
      <c r="B352" s="42">
        <v>610</v>
      </c>
      <c r="C352" s="57" t="s">
        <v>106</v>
      </c>
      <c r="D352" s="38">
        <f>'№ 7'!E177</f>
        <v>7736.2</v>
      </c>
      <c r="E352" s="38">
        <f>'№ 7'!F177</f>
        <v>7736.2</v>
      </c>
    </row>
    <row r="353" spans="1:5" ht="47.25">
      <c r="A353" s="42">
        <v>1510200000</v>
      </c>
      <c r="B353" s="42"/>
      <c r="C353" s="57" t="s">
        <v>199</v>
      </c>
      <c r="D353" s="38">
        <f>D354</f>
        <v>111.4</v>
      </c>
      <c r="E353" s="38">
        <f aca="true" t="shared" si="137" ref="E353:E355">E354</f>
        <v>91.4</v>
      </c>
    </row>
    <row r="354" spans="1:5" ht="31.5">
      <c r="A354" s="42">
        <v>1510220170</v>
      </c>
      <c r="B354" s="42"/>
      <c r="C354" s="57" t="s">
        <v>200</v>
      </c>
      <c r="D354" s="38">
        <f>D355</f>
        <v>111.4</v>
      </c>
      <c r="E354" s="38">
        <f t="shared" si="137"/>
        <v>91.4</v>
      </c>
    </row>
    <row r="355" spans="1:5" ht="12.75">
      <c r="A355" s="42">
        <v>1510220170</v>
      </c>
      <c r="B355" s="43" t="s">
        <v>76</v>
      </c>
      <c r="C355" s="57" t="s">
        <v>77</v>
      </c>
      <c r="D355" s="38">
        <f>D356</f>
        <v>111.4</v>
      </c>
      <c r="E355" s="38">
        <f t="shared" si="137"/>
        <v>91.4</v>
      </c>
    </row>
    <row r="356" spans="1:5" ht="12.75">
      <c r="A356" s="42">
        <v>1510220170</v>
      </c>
      <c r="B356" s="1" t="s">
        <v>169</v>
      </c>
      <c r="C356" s="60" t="s">
        <v>168</v>
      </c>
      <c r="D356" s="38">
        <f>'№ 6'!F74</f>
        <v>111.4</v>
      </c>
      <c r="E356" s="38">
        <f>'№ 6'!G74</f>
        <v>91.4</v>
      </c>
    </row>
    <row r="357" spans="1:5" ht="16.5" customHeight="1">
      <c r="A357" s="91">
        <v>1520000000</v>
      </c>
      <c r="B357" s="89"/>
      <c r="C357" s="73" t="s">
        <v>315</v>
      </c>
      <c r="D357" s="38">
        <f>D358</f>
        <v>411.40000000000003</v>
      </c>
      <c r="E357" s="38">
        <f aca="true" t="shared" si="138" ref="E357">E358</f>
        <v>411.4</v>
      </c>
    </row>
    <row r="358" spans="1:5" ht="63">
      <c r="A358" s="89">
        <v>1520100000</v>
      </c>
      <c r="B358" s="89"/>
      <c r="C358" s="73" t="s">
        <v>287</v>
      </c>
      <c r="D358" s="38">
        <f>D362+D359+D365</f>
        <v>411.40000000000003</v>
      </c>
      <c r="E358" s="38">
        <f aca="true" t="shared" si="139" ref="E358">E362+E359+E365</f>
        <v>411.4</v>
      </c>
    </row>
    <row r="359" spans="1:5" ht="36" customHeight="1">
      <c r="A359" s="151">
        <v>1520110440</v>
      </c>
      <c r="B359" s="151"/>
      <c r="C359" s="152" t="s">
        <v>351</v>
      </c>
      <c r="D359" s="38">
        <f>D360</f>
        <v>158.70000000000002</v>
      </c>
      <c r="E359" s="38">
        <f aca="true" t="shared" si="140" ref="E359:E360">E360</f>
        <v>158.7</v>
      </c>
    </row>
    <row r="360" spans="1:5" ht="31.5">
      <c r="A360" s="151">
        <v>1520110440</v>
      </c>
      <c r="B360" s="153" t="s">
        <v>97</v>
      </c>
      <c r="C360" s="152" t="s">
        <v>98</v>
      </c>
      <c r="D360" s="38">
        <f>D361</f>
        <v>158.70000000000002</v>
      </c>
      <c r="E360" s="38">
        <f t="shared" si="140"/>
        <v>158.7</v>
      </c>
    </row>
    <row r="361" spans="1:5" ht="12.75">
      <c r="A361" s="151">
        <v>1520110440</v>
      </c>
      <c r="B361" s="151">
        <v>610</v>
      </c>
      <c r="C361" s="152" t="s">
        <v>106</v>
      </c>
      <c r="D361" s="38">
        <f>'№ 7'!E413</f>
        <v>158.70000000000002</v>
      </c>
      <c r="E361" s="38">
        <f>'№ 7'!F413</f>
        <v>158.7</v>
      </c>
    </row>
    <row r="362" spans="1:5" ht="31.5">
      <c r="A362" s="89" t="s">
        <v>288</v>
      </c>
      <c r="B362" s="89"/>
      <c r="C362" s="90" t="s">
        <v>250</v>
      </c>
      <c r="D362" s="38">
        <f>D363</f>
        <v>158.70000000000002</v>
      </c>
      <c r="E362" s="38">
        <f aca="true" t="shared" si="141" ref="E362:E363">E363</f>
        <v>158.7</v>
      </c>
    </row>
    <row r="363" spans="1:5" ht="31.5">
      <c r="A363" s="10" t="s">
        <v>288</v>
      </c>
      <c r="B363" s="91" t="s">
        <v>97</v>
      </c>
      <c r="C363" s="90" t="s">
        <v>98</v>
      </c>
      <c r="D363" s="38">
        <f>D364</f>
        <v>158.70000000000002</v>
      </c>
      <c r="E363" s="38">
        <f t="shared" si="141"/>
        <v>158.7</v>
      </c>
    </row>
    <row r="364" spans="1:5" ht="12.75">
      <c r="A364" s="10" t="s">
        <v>288</v>
      </c>
      <c r="B364" s="89">
        <v>610</v>
      </c>
      <c r="C364" s="90" t="s">
        <v>106</v>
      </c>
      <c r="D364" s="38">
        <f>'№ 7'!E416</f>
        <v>158.70000000000002</v>
      </c>
      <c r="E364" s="38">
        <f>'№ 7'!F416</f>
        <v>158.7</v>
      </c>
    </row>
    <row r="365" spans="1:5" ht="31.5">
      <c r="A365" s="10" t="s">
        <v>454</v>
      </c>
      <c r="B365" s="252"/>
      <c r="C365" s="73" t="s">
        <v>455</v>
      </c>
      <c r="D365" s="38">
        <f>D366</f>
        <v>94</v>
      </c>
      <c r="E365" s="38">
        <f aca="true" t="shared" si="142" ref="E365:E366">E366</f>
        <v>94</v>
      </c>
    </row>
    <row r="366" spans="1:5" ht="31.5">
      <c r="A366" s="10" t="s">
        <v>454</v>
      </c>
      <c r="B366" s="254" t="s">
        <v>97</v>
      </c>
      <c r="C366" s="73" t="s">
        <v>98</v>
      </c>
      <c r="D366" s="38">
        <f>D367</f>
        <v>94</v>
      </c>
      <c r="E366" s="38">
        <f t="shared" si="142"/>
        <v>94</v>
      </c>
    </row>
    <row r="367" spans="1:5" ht="12.75">
      <c r="A367" s="10" t="s">
        <v>454</v>
      </c>
      <c r="B367" s="252">
        <v>610</v>
      </c>
      <c r="C367" s="73" t="s">
        <v>106</v>
      </c>
      <c r="D367" s="38">
        <f>'№ 7'!E449</f>
        <v>94</v>
      </c>
      <c r="E367" s="38">
        <f>'№ 7'!F449</f>
        <v>94</v>
      </c>
    </row>
    <row r="368" spans="1:5" ht="47.25">
      <c r="A368" s="29">
        <v>1600000000</v>
      </c>
      <c r="B368" s="43"/>
      <c r="C368" s="58" t="s">
        <v>116</v>
      </c>
      <c r="D368" s="37">
        <f>D369+D374+D395+D407</f>
        <v>19167.699999999997</v>
      </c>
      <c r="E368" s="37">
        <f>E369+E374+E395+E407</f>
        <v>19015.4</v>
      </c>
    </row>
    <row r="369" spans="1:5" ht="31.5">
      <c r="A369" s="43">
        <v>1610000000</v>
      </c>
      <c r="B369" s="42"/>
      <c r="C369" s="57" t="s">
        <v>234</v>
      </c>
      <c r="D369" s="38">
        <f>D370</f>
        <v>2108</v>
      </c>
      <c r="E369" s="38">
        <f>E370</f>
        <v>2108</v>
      </c>
    </row>
    <row r="370" spans="1:5" ht="47.25">
      <c r="A370" s="43">
        <v>1610100000</v>
      </c>
      <c r="B370" s="42"/>
      <c r="C370" s="57" t="s">
        <v>208</v>
      </c>
      <c r="D370" s="38">
        <f>D371</f>
        <v>2108</v>
      </c>
      <c r="E370" s="38">
        <f aca="true" t="shared" si="143" ref="E370:E372">E371</f>
        <v>2108</v>
      </c>
    </row>
    <row r="371" spans="1:5" ht="31.5">
      <c r="A371" s="43">
        <v>1610120010</v>
      </c>
      <c r="B371" s="42"/>
      <c r="C371" s="57" t="s">
        <v>126</v>
      </c>
      <c r="D371" s="38">
        <f>D372</f>
        <v>2108</v>
      </c>
      <c r="E371" s="38">
        <f t="shared" si="143"/>
        <v>2108</v>
      </c>
    </row>
    <row r="372" spans="1:5" ht="31.5">
      <c r="A372" s="43">
        <v>1610120010</v>
      </c>
      <c r="B372" s="43" t="s">
        <v>97</v>
      </c>
      <c r="C372" s="57" t="s">
        <v>98</v>
      </c>
      <c r="D372" s="38">
        <f>D373</f>
        <v>2108</v>
      </c>
      <c r="E372" s="38">
        <f t="shared" si="143"/>
        <v>2108</v>
      </c>
    </row>
    <row r="373" spans="1:5" ht="12.75">
      <c r="A373" s="43">
        <v>1610120010</v>
      </c>
      <c r="B373" s="42">
        <v>610</v>
      </c>
      <c r="C373" s="57" t="s">
        <v>106</v>
      </c>
      <c r="D373" s="38">
        <f>'№ 6'!F205</f>
        <v>2108</v>
      </c>
      <c r="E373" s="38">
        <f>'№ 6'!G205</f>
        <v>2108</v>
      </c>
    </row>
    <row r="374" spans="1:5" ht="31.5">
      <c r="A374" s="43">
        <v>1620000000</v>
      </c>
      <c r="B374" s="43"/>
      <c r="C374" s="57" t="s">
        <v>109</v>
      </c>
      <c r="D374" s="38">
        <f>D375+D388</f>
        <v>14736.1</v>
      </c>
      <c r="E374" s="38">
        <f>E375+E388</f>
        <v>14600.9</v>
      </c>
    </row>
    <row r="375" spans="1:5" ht="12.75">
      <c r="A375" s="43">
        <v>1620100000</v>
      </c>
      <c r="B375" s="43"/>
      <c r="C375" s="57" t="s">
        <v>110</v>
      </c>
      <c r="D375" s="38">
        <f>D376+D379+D382+D385</f>
        <v>5927.1</v>
      </c>
      <c r="E375" s="38">
        <f>E376+E379+E382+E385</f>
        <v>5792.1</v>
      </c>
    </row>
    <row r="376" spans="1:5" ht="12.75">
      <c r="A376" s="43">
        <v>1620120210</v>
      </c>
      <c r="B376" s="19"/>
      <c r="C376" s="57" t="s">
        <v>111</v>
      </c>
      <c r="D376" s="38">
        <f>D377</f>
        <v>2902.1</v>
      </c>
      <c r="E376" s="38">
        <f aca="true" t="shared" si="144" ref="E376:E377">E377</f>
        <v>2789.9</v>
      </c>
    </row>
    <row r="377" spans="1:5" ht="31.5">
      <c r="A377" s="43">
        <v>1620120210</v>
      </c>
      <c r="B377" s="43" t="s">
        <v>72</v>
      </c>
      <c r="C377" s="57" t="s">
        <v>95</v>
      </c>
      <c r="D377" s="38">
        <f>D378</f>
        <v>2902.1</v>
      </c>
      <c r="E377" s="38">
        <f t="shared" si="144"/>
        <v>2789.9</v>
      </c>
    </row>
    <row r="378" spans="1:5" ht="31.5">
      <c r="A378" s="43">
        <v>1620120210</v>
      </c>
      <c r="B378" s="42">
        <v>240</v>
      </c>
      <c r="C378" s="57" t="s">
        <v>257</v>
      </c>
      <c r="D378" s="38">
        <f>'№ 7'!E103</f>
        <v>2902.1</v>
      </c>
      <c r="E378" s="38">
        <f>'№ 7'!F103</f>
        <v>2789.9</v>
      </c>
    </row>
    <row r="379" spans="1:5" ht="31.5">
      <c r="A379" s="43">
        <v>1620120220</v>
      </c>
      <c r="B379" s="42"/>
      <c r="C379" s="57" t="s">
        <v>108</v>
      </c>
      <c r="D379" s="38">
        <f>D380</f>
        <v>126</v>
      </c>
      <c r="E379" s="38">
        <f aca="true" t="shared" si="145" ref="E379">E380</f>
        <v>125.8</v>
      </c>
    </row>
    <row r="380" spans="1:5" ht="31.5">
      <c r="A380" s="43">
        <v>1620120220</v>
      </c>
      <c r="B380" s="43" t="s">
        <v>72</v>
      </c>
      <c r="C380" s="57" t="s">
        <v>95</v>
      </c>
      <c r="D380" s="38">
        <f>D381</f>
        <v>126</v>
      </c>
      <c r="E380" s="38">
        <f aca="true" t="shared" si="146" ref="E380">E381</f>
        <v>125.8</v>
      </c>
    </row>
    <row r="381" spans="1:5" ht="31.5">
      <c r="A381" s="43">
        <v>1620120220</v>
      </c>
      <c r="B381" s="42">
        <v>240</v>
      </c>
      <c r="C381" s="57" t="s">
        <v>257</v>
      </c>
      <c r="D381" s="38">
        <f>'№ 7'!E106</f>
        <v>126</v>
      </c>
      <c r="E381" s="38">
        <f>'№ 7'!F106</f>
        <v>125.8</v>
      </c>
    </row>
    <row r="382" spans="1:5" ht="47.25">
      <c r="A382" s="43">
        <v>1620120230</v>
      </c>
      <c r="B382" s="43"/>
      <c r="C382" s="57" t="s">
        <v>115</v>
      </c>
      <c r="D382" s="38">
        <f>D383</f>
        <v>2549</v>
      </c>
      <c r="E382" s="38">
        <f aca="true" t="shared" si="147" ref="E382:E383">E383</f>
        <v>2549</v>
      </c>
    </row>
    <row r="383" spans="1:5" ht="31.5">
      <c r="A383" s="43">
        <v>1620120230</v>
      </c>
      <c r="B383" s="43" t="s">
        <v>72</v>
      </c>
      <c r="C383" s="57" t="s">
        <v>95</v>
      </c>
      <c r="D383" s="38">
        <f>D384</f>
        <v>2549</v>
      </c>
      <c r="E383" s="38">
        <f t="shared" si="147"/>
        <v>2549</v>
      </c>
    </row>
    <row r="384" spans="1:5" ht="31.5">
      <c r="A384" s="43">
        <v>1620120230</v>
      </c>
      <c r="B384" s="42">
        <v>240</v>
      </c>
      <c r="C384" s="57" t="s">
        <v>257</v>
      </c>
      <c r="D384" s="38">
        <f>'№ 7'!E256</f>
        <v>2549</v>
      </c>
      <c r="E384" s="38">
        <f>'№ 7'!F256</f>
        <v>2549</v>
      </c>
    </row>
    <row r="385" spans="1:5" ht="31.5">
      <c r="A385" s="43">
        <v>1620120240</v>
      </c>
      <c r="B385" s="43"/>
      <c r="C385" s="57" t="s">
        <v>113</v>
      </c>
      <c r="D385" s="38">
        <f>D386</f>
        <v>350</v>
      </c>
      <c r="E385" s="38">
        <f aca="true" t="shared" si="148" ref="E385:E386">E386</f>
        <v>327.4</v>
      </c>
    </row>
    <row r="386" spans="1:5" ht="31.5">
      <c r="A386" s="43">
        <v>1620120240</v>
      </c>
      <c r="B386" s="43" t="s">
        <v>72</v>
      </c>
      <c r="C386" s="57" t="s">
        <v>95</v>
      </c>
      <c r="D386" s="38">
        <f>D387</f>
        <v>350</v>
      </c>
      <c r="E386" s="38">
        <f t="shared" si="148"/>
        <v>327.4</v>
      </c>
    </row>
    <row r="387" spans="1:5" ht="31.5">
      <c r="A387" s="43">
        <v>1620120240</v>
      </c>
      <c r="B387" s="42">
        <v>240</v>
      </c>
      <c r="C387" s="57" t="s">
        <v>257</v>
      </c>
      <c r="D387" s="38">
        <f>'№ 7'!E248</f>
        <v>350</v>
      </c>
      <c r="E387" s="38">
        <f>'№ 7'!F248</f>
        <v>327.4</v>
      </c>
    </row>
    <row r="388" spans="1:5" ht="12.75">
      <c r="A388" s="43">
        <v>1620200000</v>
      </c>
      <c r="B388" s="43"/>
      <c r="C388" s="57" t="s">
        <v>114</v>
      </c>
      <c r="D388" s="38">
        <f>D389+D392</f>
        <v>8809</v>
      </c>
      <c r="E388" s="38">
        <f aca="true" t="shared" si="149" ref="E388">E389+E392</f>
        <v>8808.8</v>
      </c>
    </row>
    <row r="389" spans="1:5" ht="63">
      <c r="A389" s="47">
        <v>1620210820</v>
      </c>
      <c r="B389" s="47"/>
      <c r="C389" s="57" t="s">
        <v>252</v>
      </c>
      <c r="D389" s="38">
        <f>D390</f>
        <v>6851.4</v>
      </c>
      <c r="E389" s="38">
        <f aca="true" t="shared" si="150" ref="E389:E390">E390</f>
        <v>6851.3</v>
      </c>
    </row>
    <row r="390" spans="1:5" ht="31.5">
      <c r="A390" s="47">
        <v>1620210820</v>
      </c>
      <c r="B390" s="47" t="s">
        <v>75</v>
      </c>
      <c r="C390" s="57" t="s">
        <v>96</v>
      </c>
      <c r="D390" s="38">
        <f>D391</f>
        <v>6851.4</v>
      </c>
      <c r="E390" s="38">
        <f t="shared" si="150"/>
        <v>6851.3</v>
      </c>
    </row>
    <row r="391" spans="1:5" ht="12.75">
      <c r="A391" s="47">
        <v>1620210820</v>
      </c>
      <c r="B391" s="47" t="s">
        <v>122</v>
      </c>
      <c r="C391" s="57" t="s">
        <v>123</v>
      </c>
      <c r="D391" s="38">
        <f>'№ 7'!E586</f>
        <v>6851.4</v>
      </c>
      <c r="E391" s="38">
        <f>'№ 7'!F586</f>
        <v>6851.3</v>
      </c>
    </row>
    <row r="392" spans="1:5" ht="47.25">
      <c r="A392" s="86" t="s">
        <v>278</v>
      </c>
      <c r="B392" s="86"/>
      <c r="C392" s="73" t="s">
        <v>279</v>
      </c>
      <c r="D392" s="38">
        <f>D393</f>
        <v>1957.6</v>
      </c>
      <c r="E392" s="38">
        <f aca="true" t="shared" si="151" ref="E392:E393">E393</f>
        <v>1957.5</v>
      </c>
    </row>
    <row r="393" spans="1:5" ht="31.5">
      <c r="A393" s="86" t="s">
        <v>278</v>
      </c>
      <c r="B393" s="86" t="s">
        <v>75</v>
      </c>
      <c r="C393" s="73" t="s">
        <v>96</v>
      </c>
      <c r="D393" s="38">
        <f>D394</f>
        <v>1957.6</v>
      </c>
      <c r="E393" s="38">
        <f t="shared" si="151"/>
        <v>1957.5</v>
      </c>
    </row>
    <row r="394" spans="1:5" ht="12.75">
      <c r="A394" s="86" t="s">
        <v>278</v>
      </c>
      <c r="B394" s="86" t="s">
        <v>122</v>
      </c>
      <c r="C394" s="73" t="s">
        <v>123</v>
      </c>
      <c r="D394" s="38">
        <f>'№ 7'!E589</f>
        <v>1957.6</v>
      </c>
      <c r="E394" s="38">
        <f>'№ 7'!F589</f>
        <v>1957.5</v>
      </c>
    </row>
    <row r="395" spans="1:5" ht="47.25">
      <c r="A395" s="43">
        <v>1630000000</v>
      </c>
      <c r="B395" s="42"/>
      <c r="C395" s="57" t="s">
        <v>235</v>
      </c>
      <c r="D395" s="38">
        <f>D396+D403</f>
        <v>2152.5</v>
      </c>
      <c r="E395" s="38">
        <f>E396+E403</f>
        <v>2145.4</v>
      </c>
    </row>
    <row r="396" spans="1:5" ht="47.25">
      <c r="A396" s="42">
        <v>1630100000</v>
      </c>
      <c r="B396" s="42"/>
      <c r="C396" s="57" t="s">
        <v>236</v>
      </c>
      <c r="D396" s="38">
        <f>D397+D400</f>
        <v>1993.4</v>
      </c>
      <c r="E396" s="38">
        <f>E397+E400</f>
        <v>1986.3</v>
      </c>
    </row>
    <row r="397" spans="1:5" ht="47.25">
      <c r="A397" s="42">
        <v>1630120180</v>
      </c>
      <c r="B397" s="42"/>
      <c r="C397" s="57" t="s">
        <v>237</v>
      </c>
      <c r="D397" s="38">
        <f>D398</f>
        <v>1300.3</v>
      </c>
      <c r="E397" s="38">
        <f aca="true" t="shared" si="152" ref="E397">E398</f>
        <v>1300.3</v>
      </c>
    </row>
    <row r="398" spans="1:5" ht="31.5">
      <c r="A398" s="42">
        <v>1630120180</v>
      </c>
      <c r="B398" s="42" t="s">
        <v>72</v>
      </c>
      <c r="C398" s="57" t="s">
        <v>95</v>
      </c>
      <c r="D398" s="38">
        <f>D399</f>
        <v>1300.3</v>
      </c>
      <c r="E398" s="38">
        <f aca="true" t="shared" si="153" ref="E398">E399</f>
        <v>1300.3</v>
      </c>
    </row>
    <row r="399" spans="1:5" ht="31.5">
      <c r="A399" s="42">
        <v>1630120180</v>
      </c>
      <c r="B399" s="42">
        <v>240</v>
      </c>
      <c r="C399" s="57" t="s">
        <v>257</v>
      </c>
      <c r="D399" s="38">
        <f>'№ 7'!E111</f>
        <v>1300.3</v>
      </c>
      <c r="E399" s="38">
        <f>'№ 7'!F111</f>
        <v>1300.3</v>
      </c>
    </row>
    <row r="400" spans="1:5" ht="47.25">
      <c r="A400" s="42">
        <v>1630120520</v>
      </c>
      <c r="B400" s="42"/>
      <c r="C400" s="57" t="s">
        <v>242</v>
      </c>
      <c r="D400" s="38">
        <f>D401</f>
        <v>693.1</v>
      </c>
      <c r="E400" s="38">
        <f aca="true" t="shared" si="154" ref="E400">E401</f>
        <v>686</v>
      </c>
    </row>
    <row r="401" spans="1:5" ht="31.5">
      <c r="A401" s="42">
        <v>1630120520</v>
      </c>
      <c r="B401" s="42" t="s">
        <v>72</v>
      </c>
      <c r="C401" s="57" t="s">
        <v>95</v>
      </c>
      <c r="D401" s="38">
        <f>D402</f>
        <v>693.1</v>
      </c>
      <c r="E401" s="38">
        <f aca="true" t="shared" si="155" ref="E401">E402</f>
        <v>686</v>
      </c>
    </row>
    <row r="402" spans="1:5" ht="31.5">
      <c r="A402" s="42">
        <v>1630120520</v>
      </c>
      <c r="B402" s="42">
        <v>240</v>
      </c>
      <c r="C402" s="57" t="s">
        <v>257</v>
      </c>
      <c r="D402" s="38">
        <f>'№ 7'!E114</f>
        <v>693.1</v>
      </c>
      <c r="E402" s="38">
        <f>'№ 7'!F114</f>
        <v>686</v>
      </c>
    </row>
    <row r="403" spans="1:5" ht="37.9" customHeight="1">
      <c r="A403" s="42">
        <v>1630200000</v>
      </c>
      <c r="B403" s="42"/>
      <c r="C403" s="57" t="s">
        <v>238</v>
      </c>
      <c r="D403" s="38">
        <f>D404</f>
        <v>159.10000000000002</v>
      </c>
      <c r="E403" s="38">
        <f aca="true" t="shared" si="156" ref="E403">E404</f>
        <v>159.1</v>
      </c>
    </row>
    <row r="404" spans="1:5" ht="12.75">
      <c r="A404" s="42">
        <v>1630220530</v>
      </c>
      <c r="B404" s="42"/>
      <c r="C404" s="57" t="s">
        <v>239</v>
      </c>
      <c r="D404" s="38">
        <f>D405</f>
        <v>159.10000000000002</v>
      </c>
      <c r="E404" s="38">
        <f aca="true" t="shared" si="157" ref="E404:E405">E405</f>
        <v>159.1</v>
      </c>
    </row>
    <row r="405" spans="1:5" ht="31.5">
      <c r="A405" s="42">
        <v>1630220530</v>
      </c>
      <c r="B405" s="42" t="s">
        <v>72</v>
      </c>
      <c r="C405" s="57" t="s">
        <v>95</v>
      </c>
      <c r="D405" s="38">
        <f>D406</f>
        <v>159.10000000000002</v>
      </c>
      <c r="E405" s="38">
        <f t="shared" si="157"/>
        <v>159.1</v>
      </c>
    </row>
    <row r="406" spans="1:5" ht="31.5">
      <c r="A406" s="42">
        <v>1630220530</v>
      </c>
      <c r="B406" s="42">
        <v>240</v>
      </c>
      <c r="C406" s="57" t="s">
        <v>257</v>
      </c>
      <c r="D406" s="38">
        <f>'№ 7'!E118</f>
        <v>159.10000000000002</v>
      </c>
      <c r="E406" s="38">
        <f>'№ 7'!F118</f>
        <v>159.1</v>
      </c>
    </row>
    <row r="407" spans="1:5" ht="47.25">
      <c r="A407" s="43">
        <v>1640000000</v>
      </c>
      <c r="B407" s="1"/>
      <c r="C407" s="60" t="s">
        <v>228</v>
      </c>
      <c r="D407" s="38">
        <f>D408+D412</f>
        <v>171.1</v>
      </c>
      <c r="E407" s="38">
        <f aca="true" t="shared" si="158" ref="E407">E408+E412</f>
        <v>161.1</v>
      </c>
    </row>
    <row r="408" spans="1:5" ht="31.5">
      <c r="A408" s="43">
        <v>1640100000</v>
      </c>
      <c r="B408" s="42"/>
      <c r="C408" s="57" t="s">
        <v>230</v>
      </c>
      <c r="D408" s="38">
        <f>D409</f>
        <v>144.6</v>
      </c>
      <c r="E408" s="38">
        <f aca="true" t="shared" si="159" ref="E408:E410">E409</f>
        <v>134.6</v>
      </c>
    </row>
    <row r="409" spans="1:5" ht="12.75">
      <c r="A409" s="43">
        <v>1640120510</v>
      </c>
      <c r="B409" s="42"/>
      <c r="C409" s="57" t="s">
        <v>232</v>
      </c>
      <c r="D409" s="38">
        <f>D410</f>
        <v>144.6</v>
      </c>
      <c r="E409" s="38">
        <f t="shared" si="159"/>
        <v>134.6</v>
      </c>
    </row>
    <row r="410" spans="1:5" ht="31.5">
      <c r="A410" s="43">
        <v>1640120510</v>
      </c>
      <c r="B410" s="43" t="s">
        <v>72</v>
      </c>
      <c r="C410" s="57" t="s">
        <v>95</v>
      </c>
      <c r="D410" s="38">
        <f>D411</f>
        <v>144.6</v>
      </c>
      <c r="E410" s="38">
        <f t="shared" si="159"/>
        <v>134.6</v>
      </c>
    </row>
    <row r="411" spans="1:5" ht="31.5">
      <c r="A411" s="43">
        <v>1640120510</v>
      </c>
      <c r="B411" s="42">
        <v>240</v>
      </c>
      <c r="C411" s="57" t="s">
        <v>257</v>
      </c>
      <c r="D411" s="38">
        <f>'№ 7'!E456</f>
        <v>144.6</v>
      </c>
      <c r="E411" s="38">
        <f>'№ 7'!F456</f>
        <v>134.6</v>
      </c>
    </row>
    <row r="412" spans="1:5" ht="31.5">
      <c r="A412" s="42">
        <v>1640200000</v>
      </c>
      <c r="B412" s="1"/>
      <c r="C412" s="60" t="s">
        <v>231</v>
      </c>
      <c r="D412" s="38">
        <f>D413</f>
        <v>26.5</v>
      </c>
      <c r="E412" s="38">
        <f aca="true" t="shared" si="160" ref="E412:E414">E413</f>
        <v>26.5</v>
      </c>
    </row>
    <row r="413" spans="1:5" ht="12.75">
      <c r="A413" s="42">
        <v>1640220250</v>
      </c>
      <c r="B413" s="1"/>
      <c r="C413" s="60" t="s">
        <v>229</v>
      </c>
      <c r="D413" s="38">
        <f>D414</f>
        <v>26.5</v>
      </c>
      <c r="E413" s="38">
        <f t="shared" si="160"/>
        <v>26.5</v>
      </c>
    </row>
    <row r="414" spans="1:5" ht="31.5">
      <c r="A414" s="42">
        <v>1640220250</v>
      </c>
      <c r="B414" s="43" t="s">
        <v>72</v>
      </c>
      <c r="C414" s="57" t="s">
        <v>95</v>
      </c>
      <c r="D414" s="38">
        <f>D415</f>
        <v>26.5</v>
      </c>
      <c r="E414" s="38">
        <f t="shared" si="160"/>
        <v>26.5</v>
      </c>
    </row>
    <row r="415" spans="1:5" ht="31.5">
      <c r="A415" s="42">
        <v>1640220250</v>
      </c>
      <c r="B415" s="42">
        <v>240</v>
      </c>
      <c r="C415" s="57" t="s">
        <v>257</v>
      </c>
      <c r="D415" s="38">
        <f>'№ 7'!E123</f>
        <v>26.5</v>
      </c>
      <c r="E415" s="38">
        <f>'№ 7'!F123</f>
        <v>26.5</v>
      </c>
    </row>
    <row r="416" spans="1:5" ht="12.75">
      <c r="A416" s="16">
        <v>9900000000</v>
      </c>
      <c r="B416" s="16"/>
      <c r="C416" s="58" t="s">
        <v>107</v>
      </c>
      <c r="D416" s="37">
        <f>D417+D427+D440+D421</f>
        <v>80972.39999999998</v>
      </c>
      <c r="E416" s="37">
        <f>E417+E427+E440+E421</f>
        <v>79390.79999999999</v>
      </c>
    </row>
    <row r="417" spans="1:5" ht="12.75">
      <c r="A417" s="42">
        <v>9910000000</v>
      </c>
      <c r="B417" s="42"/>
      <c r="C417" s="57" t="s">
        <v>9</v>
      </c>
      <c r="D417" s="38">
        <f>D418</f>
        <v>500</v>
      </c>
      <c r="E417" s="38">
        <f aca="true" t="shared" si="161" ref="E417:E419">E418</f>
        <v>137</v>
      </c>
    </row>
    <row r="418" spans="1:5" ht="31.5">
      <c r="A418" s="42">
        <v>9910020000</v>
      </c>
      <c r="B418" s="42"/>
      <c r="C418" s="57" t="s">
        <v>178</v>
      </c>
      <c r="D418" s="38">
        <f>D419</f>
        <v>500</v>
      </c>
      <c r="E418" s="38">
        <f t="shared" si="161"/>
        <v>137</v>
      </c>
    </row>
    <row r="419" spans="1:5" ht="12.75">
      <c r="A419" s="42">
        <v>9910020000</v>
      </c>
      <c r="B419" s="43" t="s">
        <v>73</v>
      </c>
      <c r="C419" s="57" t="s">
        <v>74</v>
      </c>
      <c r="D419" s="38">
        <f>D420</f>
        <v>500</v>
      </c>
      <c r="E419" s="38">
        <f t="shared" si="161"/>
        <v>137</v>
      </c>
    </row>
    <row r="420" spans="1:5" ht="12.75">
      <c r="A420" s="42">
        <v>9910020000</v>
      </c>
      <c r="B420" s="2" t="s">
        <v>179</v>
      </c>
      <c r="C420" s="60" t="s">
        <v>180</v>
      </c>
      <c r="D420" s="38">
        <f>'№ 6'!F503+'№ 6'!F97</f>
        <v>500</v>
      </c>
      <c r="E420" s="38">
        <f>'№ 6'!G503+'№ 6'!G97</f>
        <v>137</v>
      </c>
    </row>
    <row r="421" spans="1:5" ht="47.25">
      <c r="A421" s="197">
        <v>9920000000</v>
      </c>
      <c r="B421" s="197"/>
      <c r="C421" s="73" t="s">
        <v>381</v>
      </c>
      <c r="D421" s="38">
        <f>D422</f>
        <v>930.9</v>
      </c>
      <c r="E421" s="38">
        <f aca="true" t="shared" si="162" ref="E421:E425">E422</f>
        <v>930.9</v>
      </c>
    </row>
    <row r="422" spans="1:5" ht="31.5">
      <c r="A422" s="197">
        <v>9920010920</v>
      </c>
      <c r="B422" s="197"/>
      <c r="C422" s="73" t="s">
        <v>382</v>
      </c>
      <c r="D422" s="38">
        <f>D425+D423</f>
        <v>930.9</v>
      </c>
      <c r="E422" s="38">
        <f aca="true" t="shared" si="163" ref="E422">E425+E423</f>
        <v>930.9</v>
      </c>
    </row>
    <row r="423" spans="1:5" ht="31.5">
      <c r="A423" s="255">
        <v>9920010920</v>
      </c>
      <c r="B423" s="257" t="s">
        <v>72</v>
      </c>
      <c r="C423" s="256" t="s">
        <v>95</v>
      </c>
      <c r="D423" s="38">
        <f>D424</f>
        <v>10.9</v>
      </c>
      <c r="E423" s="38">
        <f aca="true" t="shared" si="164" ref="E423">E424</f>
        <v>10.9</v>
      </c>
    </row>
    <row r="424" spans="1:5" ht="31.5">
      <c r="A424" s="255">
        <v>9920010920</v>
      </c>
      <c r="B424" s="255">
        <v>240</v>
      </c>
      <c r="C424" s="256" t="s">
        <v>257</v>
      </c>
      <c r="D424" s="38">
        <f>'№ 7'!E317</f>
        <v>10.9</v>
      </c>
      <c r="E424" s="38">
        <f>'№ 7'!F317</f>
        <v>10.9</v>
      </c>
    </row>
    <row r="425" spans="1:5" ht="31.5">
      <c r="A425" s="197">
        <v>9920010920</v>
      </c>
      <c r="B425" s="198" t="s">
        <v>97</v>
      </c>
      <c r="C425" s="73" t="s">
        <v>98</v>
      </c>
      <c r="D425" s="38">
        <f>D426</f>
        <v>920</v>
      </c>
      <c r="E425" s="38">
        <f t="shared" si="162"/>
        <v>920</v>
      </c>
    </row>
    <row r="426" spans="1:5" ht="12.75">
      <c r="A426" s="197">
        <v>9920010920</v>
      </c>
      <c r="B426" s="197">
        <v>610</v>
      </c>
      <c r="C426" s="73" t="s">
        <v>106</v>
      </c>
      <c r="D426" s="38">
        <f>'№ 7'!E540+'№ 7'!E649+'№ 7'!E363+'№ 7'!E421</f>
        <v>920</v>
      </c>
      <c r="E426" s="38">
        <f>'№ 7'!F540+'№ 7'!F649+'№ 7'!F363+'№ 7'!F421</f>
        <v>920</v>
      </c>
    </row>
    <row r="427" spans="1:5" ht="31.5">
      <c r="A427" s="42">
        <v>9930000000</v>
      </c>
      <c r="B427" s="42"/>
      <c r="C427" s="57" t="s">
        <v>173</v>
      </c>
      <c r="D427" s="38">
        <f>D437+D434+D431+D428</f>
        <v>5199.9</v>
      </c>
      <c r="E427" s="38">
        <f aca="true" t="shared" si="165" ref="E427">E437+E434+E431+E428</f>
        <v>5170.6</v>
      </c>
    </row>
    <row r="428" spans="1:5" ht="31.5">
      <c r="A428" s="134">
        <v>9930020480</v>
      </c>
      <c r="B428" s="134"/>
      <c r="C428" s="133" t="s">
        <v>339</v>
      </c>
      <c r="D428" s="38">
        <f>D429</f>
        <v>2175</v>
      </c>
      <c r="E428" s="38">
        <f aca="true" t="shared" si="166" ref="E428:E429">E429</f>
        <v>2175</v>
      </c>
    </row>
    <row r="429" spans="1:5" ht="12.75">
      <c r="A429" s="134">
        <v>9930020480</v>
      </c>
      <c r="B429" s="132" t="s">
        <v>73</v>
      </c>
      <c r="C429" s="133" t="s">
        <v>74</v>
      </c>
      <c r="D429" s="38">
        <f>D430</f>
        <v>2175</v>
      </c>
      <c r="E429" s="38">
        <f t="shared" si="166"/>
        <v>2175</v>
      </c>
    </row>
    <row r="430" spans="1:5" ht="12.75">
      <c r="A430" s="134">
        <v>9930020480</v>
      </c>
      <c r="B430" s="132">
        <v>880</v>
      </c>
      <c r="C430" s="133" t="s">
        <v>340</v>
      </c>
      <c r="D430" s="38">
        <f>'№ 7'!E59</f>
        <v>2175</v>
      </c>
      <c r="E430" s="38">
        <f>'№ 7'!F59</f>
        <v>2175</v>
      </c>
    </row>
    <row r="431" spans="1:5" ht="31.5">
      <c r="A431" s="132">
        <v>9930020490</v>
      </c>
      <c r="B431" s="132"/>
      <c r="C431" s="73" t="s">
        <v>334</v>
      </c>
      <c r="D431" s="38">
        <f>D432</f>
        <v>2972</v>
      </c>
      <c r="E431" s="38">
        <f aca="true" t="shared" si="167" ref="E431:E432">E432</f>
        <v>2972</v>
      </c>
    </row>
    <row r="432" spans="1:5" ht="12.75">
      <c r="A432" s="132">
        <v>9930020490</v>
      </c>
      <c r="B432" s="11" t="s">
        <v>73</v>
      </c>
      <c r="C432" s="50" t="s">
        <v>74</v>
      </c>
      <c r="D432" s="38">
        <f>D433</f>
        <v>2972</v>
      </c>
      <c r="E432" s="38">
        <f t="shared" si="167"/>
        <v>2972</v>
      </c>
    </row>
    <row r="433" spans="1:5" ht="12.75">
      <c r="A433" s="132">
        <v>9930020490</v>
      </c>
      <c r="B433" s="1" t="s">
        <v>335</v>
      </c>
      <c r="C433" s="81" t="s">
        <v>336</v>
      </c>
      <c r="D433" s="38">
        <f>'№ 7'!E236+'№ 7'!E132+'№ 7'!E321</f>
        <v>2972</v>
      </c>
      <c r="E433" s="38">
        <f>'№ 7'!F236+'№ 7'!F132+'№ 7'!F321</f>
        <v>2972</v>
      </c>
    </row>
    <row r="434" spans="1:5" ht="12.75">
      <c r="A434" s="78">
        <v>9930020500</v>
      </c>
      <c r="B434" s="78"/>
      <c r="C434" s="73" t="s">
        <v>267</v>
      </c>
      <c r="D434" s="38">
        <f>D435</f>
        <v>24</v>
      </c>
      <c r="E434" s="38">
        <f aca="true" t="shared" si="168" ref="E434:E435">E435</f>
        <v>23.6</v>
      </c>
    </row>
    <row r="435" spans="1:5" ht="12.75">
      <c r="A435" s="78">
        <v>9930020500</v>
      </c>
      <c r="B435" s="78" t="s">
        <v>268</v>
      </c>
      <c r="C435" s="73" t="s">
        <v>269</v>
      </c>
      <c r="D435" s="38">
        <f>D436</f>
        <v>24</v>
      </c>
      <c r="E435" s="38">
        <f t="shared" si="168"/>
        <v>23.6</v>
      </c>
    </row>
    <row r="436" spans="1:5" ht="12.75">
      <c r="A436" s="78">
        <v>9930020500</v>
      </c>
      <c r="B436" s="1" t="s">
        <v>270</v>
      </c>
      <c r="C436" s="81" t="s">
        <v>267</v>
      </c>
      <c r="D436" s="38">
        <f>'№ 7'!E670</f>
        <v>24</v>
      </c>
      <c r="E436" s="38">
        <f>'№ 7'!F670</f>
        <v>23.6</v>
      </c>
    </row>
    <row r="437" spans="1:5" ht="47.25">
      <c r="A437" s="42">
        <v>9930051200</v>
      </c>
      <c r="B437" s="42"/>
      <c r="C437" s="57" t="s">
        <v>174</v>
      </c>
      <c r="D437" s="38">
        <f>D438</f>
        <v>28.9</v>
      </c>
      <c r="E437" s="38">
        <f aca="true" t="shared" si="169" ref="E437:E438">E438</f>
        <v>0</v>
      </c>
    </row>
    <row r="438" spans="1:5" ht="31.5">
      <c r="A438" s="42">
        <v>9930051200</v>
      </c>
      <c r="B438" s="42" t="s">
        <v>72</v>
      </c>
      <c r="C438" s="57" t="s">
        <v>95</v>
      </c>
      <c r="D438" s="38">
        <f>D439</f>
        <v>28.9</v>
      </c>
      <c r="E438" s="38">
        <f t="shared" si="169"/>
        <v>0</v>
      </c>
    </row>
    <row r="439" spans="1:5" ht="31.5">
      <c r="A439" s="42">
        <v>9930051200</v>
      </c>
      <c r="B439" s="42">
        <v>240</v>
      </c>
      <c r="C439" s="57" t="s">
        <v>257</v>
      </c>
      <c r="D439" s="38">
        <f>'№ 6'!F36</f>
        <v>28.9</v>
      </c>
      <c r="E439" s="38">
        <f>'№ 6'!G36</f>
        <v>0</v>
      </c>
    </row>
    <row r="440" spans="1:5" ht="31.5">
      <c r="A440" s="42">
        <v>9990000000</v>
      </c>
      <c r="B440" s="42"/>
      <c r="C440" s="57" t="s">
        <v>160</v>
      </c>
      <c r="D440" s="38">
        <f>D441+D444+D450+D477</f>
        <v>74341.59999999999</v>
      </c>
      <c r="E440" s="38">
        <f>E441+E444+E450+E477</f>
        <v>73152.29999999999</v>
      </c>
    </row>
    <row r="441" spans="1:5" ht="12.75">
      <c r="A441" s="42">
        <v>9990021000</v>
      </c>
      <c r="B441" s="25"/>
      <c r="C441" s="57" t="s">
        <v>161</v>
      </c>
      <c r="D441" s="38">
        <f>D442</f>
        <v>1787.6</v>
      </c>
      <c r="E441" s="38">
        <f aca="true" t="shared" si="170" ref="E441:E442">E442</f>
        <v>1787.6</v>
      </c>
    </row>
    <row r="442" spans="1:5" ht="63">
      <c r="A442" s="42">
        <v>9990021000</v>
      </c>
      <c r="B442" s="42" t="s">
        <v>71</v>
      </c>
      <c r="C442" s="57" t="s">
        <v>1</v>
      </c>
      <c r="D442" s="38">
        <f>D443</f>
        <v>1787.6</v>
      </c>
      <c r="E442" s="38">
        <f t="shared" si="170"/>
        <v>1787.6</v>
      </c>
    </row>
    <row r="443" spans="1:5" ht="31.5">
      <c r="A443" s="42">
        <v>9990021000</v>
      </c>
      <c r="B443" s="42">
        <v>120</v>
      </c>
      <c r="C443" s="57" t="s">
        <v>258</v>
      </c>
      <c r="D443" s="38">
        <f>'№ 7'!E12</f>
        <v>1787.6</v>
      </c>
      <c r="E443" s="38">
        <f>'№ 7'!F12</f>
        <v>1787.6</v>
      </c>
    </row>
    <row r="444" spans="1:5" ht="31.5">
      <c r="A444" s="42">
        <v>9990100000</v>
      </c>
      <c r="B444" s="42"/>
      <c r="C444" s="57" t="s">
        <v>181</v>
      </c>
      <c r="D444" s="38">
        <f>D445</f>
        <v>2790.3</v>
      </c>
      <c r="E444" s="38">
        <f>E445</f>
        <v>2769.1</v>
      </c>
    </row>
    <row r="445" spans="1:5" ht="31.5">
      <c r="A445" s="42">
        <v>9990123000</v>
      </c>
      <c r="B445" s="42"/>
      <c r="C445" s="57" t="s">
        <v>182</v>
      </c>
      <c r="D445" s="38">
        <f>D446+D448</f>
        <v>2790.3</v>
      </c>
      <c r="E445" s="38">
        <f aca="true" t="shared" si="171" ref="E445">E446+E448</f>
        <v>2769.1</v>
      </c>
    </row>
    <row r="446" spans="1:5" ht="63">
      <c r="A446" s="42">
        <v>9990123000</v>
      </c>
      <c r="B446" s="42" t="s">
        <v>71</v>
      </c>
      <c r="C446" s="57" t="s">
        <v>1</v>
      </c>
      <c r="D446" s="38">
        <f>D447</f>
        <v>2260.4</v>
      </c>
      <c r="E446" s="38">
        <f aca="true" t="shared" si="172" ref="E446">E447</f>
        <v>2260.4</v>
      </c>
    </row>
    <row r="447" spans="1:5" ht="31.5">
      <c r="A447" s="42">
        <v>9990123000</v>
      </c>
      <c r="B447" s="42">
        <v>120</v>
      </c>
      <c r="C447" s="57" t="s">
        <v>258</v>
      </c>
      <c r="D447" s="38">
        <f>'№ 7'!E19</f>
        <v>2260.4</v>
      </c>
      <c r="E447" s="38">
        <f>'№ 7'!F19</f>
        <v>2260.4</v>
      </c>
    </row>
    <row r="448" spans="1:5" ht="31.5">
      <c r="A448" s="42">
        <v>9990123000</v>
      </c>
      <c r="B448" s="55" t="s">
        <v>72</v>
      </c>
      <c r="C448" s="57" t="s">
        <v>95</v>
      </c>
      <c r="D448" s="38">
        <f>D449</f>
        <v>529.9</v>
      </c>
      <c r="E448" s="38">
        <f aca="true" t="shared" si="173" ref="E448">E449</f>
        <v>508.7</v>
      </c>
    </row>
    <row r="449" spans="1:5" ht="31.5">
      <c r="A449" s="42">
        <v>9990123000</v>
      </c>
      <c r="B449" s="54">
        <v>240</v>
      </c>
      <c r="C449" s="57" t="s">
        <v>257</v>
      </c>
      <c r="D449" s="38">
        <f>'№ 7'!E21</f>
        <v>529.9</v>
      </c>
      <c r="E449" s="38">
        <f>'№ 7'!F21</f>
        <v>508.7</v>
      </c>
    </row>
    <row r="450" spans="1:5" ht="31.5">
      <c r="A450" s="42">
        <v>9990200000</v>
      </c>
      <c r="B450" s="25"/>
      <c r="C450" s="57" t="s">
        <v>120</v>
      </c>
      <c r="D450" s="38">
        <f>D461+D466+D451+D456+D472+D469</f>
        <v>44044.7</v>
      </c>
      <c r="E450" s="38">
        <f>E461+E466+E451+E456+E472+E469</f>
        <v>44019.7</v>
      </c>
    </row>
    <row r="451" spans="1:5" ht="47.25">
      <c r="A451" s="42">
        <v>9990210510</v>
      </c>
      <c r="B451" s="42"/>
      <c r="C451" s="57" t="s">
        <v>163</v>
      </c>
      <c r="D451" s="38">
        <f>D452+D454</f>
        <v>662.1</v>
      </c>
      <c r="E451" s="38">
        <f aca="true" t="shared" si="174" ref="E451">E452+E454</f>
        <v>662.1</v>
      </c>
    </row>
    <row r="452" spans="1:5" ht="63">
      <c r="A452" s="42">
        <v>9990210510</v>
      </c>
      <c r="B452" s="42" t="s">
        <v>71</v>
      </c>
      <c r="C452" s="57" t="s">
        <v>1</v>
      </c>
      <c r="D452" s="38">
        <f>D453</f>
        <v>575</v>
      </c>
      <c r="E452" s="38">
        <f aca="true" t="shared" si="175" ref="E452">E453</f>
        <v>575</v>
      </c>
    </row>
    <row r="453" spans="1:5" ht="31.5">
      <c r="A453" s="42">
        <v>9990210510</v>
      </c>
      <c r="B453" s="42">
        <v>120</v>
      </c>
      <c r="C453" s="57" t="s">
        <v>258</v>
      </c>
      <c r="D453" s="38">
        <f>'№ 7'!E28</f>
        <v>575</v>
      </c>
      <c r="E453" s="38">
        <f>'№ 7'!F28</f>
        <v>575</v>
      </c>
    </row>
    <row r="454" spans="1:5" ht="31.5">
      <c r="A454" s="123">
        <v>9990210510</v>
      </c>
      <c r="B454" s="123" t="s">
        <v>72</v>
      </c>
      <c r="C454" s="124" t="s">
        <v>95</v>
      </c>
      <c r="D454" s="38">
        <f>D455</f>
        <v>87.1</v>
      </c>
      <c r="E454" s="38">
        <f aca="true" t="shared" si="176" ref="E454">E455</f>
        <v>87.1</v>
      </c>
    </row>
    <row r="455" spans="1:5" ht="31.5">
      <c r="A455" s="123">
        <v>9990210510</v>
      </c>
      <c r="B455" s="123">
        <v>240</v>
      </c>
      <c r="C455" s="124" t="s">
        <v>257</v>
      </c>
      <c r="D455" s="38">
        <f>'№ 7'!E30</f>
        <v>87.1</v>
      </c>
      <c r="E455" s="38">
        <f>'№ 7'!F30</f>
        <v>87.1</v>
      </c>
    </row>
    <row r="456" spans="1:5" ht="63">
      <c r="A456" s="42">
        <v>9990210540</v>
      </c>
      <c r="B456" s="42"/>
      <c r="C456" s="57" t="s">
        <v>170</v>
      </c>
      <c r="D456" s="38">
        <f>D457+D459</f>
        <v>264</v>
      </c>
      <c r="E456" s="38">
        <f aca="true" t="shared" si="177" ref="E456">E457+E459</f>
        <v>264</v>
      </c>
    </row>
    <row r="457" spans="1:5" ht="63">
      <c r="A457" s="42">
        <v>9990210540</v>
      </c>
      <c r="B457" s="42" t="s">
        <v>71</v>
      </c>
      <c r="C457" s="57" t="s">
        <v>1</v>
      </c>
      <c r="D457" s="38">
        <f>D458</f>
        <v>256.3</v>
      </c>
      <c r="E457" s="38">
        <f aca="true" t="shared" si="178" ref="E457">E458</f>
        <v>256.3</v>
      </c>
    </row>
    <row r="458" spans="1:5" ht="31.5">
      <c r="A458" s="42">
        <v>9990210540</v>
      </c>
      <c r="B458" s="42">
        <v>120</v>
      </c>
      <c r="C458" s="57" t="s">
        <v>258</v>
      </c>
      <c r="D458" s="38">
        <f>'№ 7'!E137</f>
        <v>256.3</v>
      </c>
      <c r="E458" s="38">
        <f>'№ 7'!F137</f>
        <v>256.3</v>
      </c>
    </row>
    <row r="459" spans="1:5" ht="31.5">
      <c r="A459" s="42">
        <v>9990210540</v>
      </c>
      <c r="B459" s="42" t="s">
        <v>72</v>
      </c>
      <c r="C459" s="57" t="s">
        <v>95</v>
      </c>
      <c r="D459" s="38">
        <f>D460</f>
        <v>7.7</v>
      </c>
      <c r="E459" s="38">
        <f aca="true" t="shared" si="179" ref="E459">E460</f>
        <v>7.7</v>
      </c>
    </row>
    <row r="460" spans="1:5" ht="31.5">
      <c r="A460" s="42">
        <v>9990210540</v>
      </c>
      <c r="B460" s="42">
        <v>240</v>
      </c>
      <c r="C460" s="57" t="s">
        <v>257</v>
      </c>
      <c r="D460" s="38">
        <f>'№ 7'!E139</f>
        <v>7.7</v>
      </c>
      <c r="E460" s="38">
        <f>'№ 7'!F139</f>
        <v>7.7</v>
      </c>
    </row>
    <row r="461" spans="1:5" ht="47.25">
      <c r="A461" s="42">
        <v>9990225000</v>
      </c>
      <c r="B461" s="42"/>
      <c r="C461" s="57" t="s">
        <v>121</v>
      </c>
      <c r="D461" s="38">
        <f>D462+D464</f>
        <v>40074.2</v>
      </c>
      <c r="E461" s="38">
        <f aca="true" t="shared" si="180" ref="E461">E462+E464</f>
        <v>40049.2</v>
      </c>
    </row>
    <row r="462" spans="1:5" ht="63">
      <c r="A462" s="42">
        <v>9990225000</v>
      </c>
      <c r="B462" s="42" t="s">
        <v>71</v>
      </c>
      <c r="C462" s="57" t="s">
        <v>1</v>
      </c>
      <c r="D462" s="38">
        <f>D463</f>
        <v>39909.5</v>
      </c>
      <c r="E462" s="38">
        <f aca="true" t="shared" si="181" ref="E462">E463</f>
        <v>39884.5</v>
      </c>
    </row>
    <row r="463" spans="1:5" ht="31.5">
      <c r="A463" s="42">
        <v>9990225000</v>
      </c>
      <c r="B463" s="42">
        <v>120</v>
      </c>
      <c r="C463" s="57" t="s">
        <v>258</v>
      </c>
      <c r="D463" s="38">
        <f>'№ 7'!E498+'№ 7'!E142+'№ 7'!E51+'№ 7'!E33</f>
        <v>39909.5</v>
      </c>
      <c r="E463" s="38">
        <f>'№ 7'!F498+'№ 7'!F142+'№ 7'!F51+'№ 7'!F33</f>
        <v>39884.5</v>
      </c>
    </row>
    <row r="464" spans="1:5" ht="12.75">
      <c r="A464" s="42">
        <v>9990225000</v>
      </c>
      <c r="B464" s="42" t="s">
        <v>73</v>
      </c>
      <c r="C464" s="57" t="s">
        <v>74</v>
      </c>
      <c r="D464" s="38">
        <f>D465</f>
        <v>164.7</v>
      </c>
      <c r="E464" s="38">
        <f aca="true" t="shared" si="182" ref="E464">E465</f>
        <v>164.7</v>
      </c>
    </row>
    <row r="465" spans="1:5" ht="12.75">
      <c r="A465" s="42">
        <v>9990225000</v>
      </c>
      <c r="B465" s="42">
        <v>850</v>
      </c>
      <c r="C465" s="57" t="s">
        <v>102</v>
      </c>
      <c r="D465" s="38">
        <f>'№ 7'!E35+'№ 7'!E53+'№ 7'!E500</f>
        <v>164.7</v>
      </c>
      <c r="E465" s="38">
        <f>'№ 7'!F35+'№ 7'!F53+'№ 7'!F500</f>
        <v>164.7</v>
      </c>
    </row>
    <row r="466" spans="1:5" ht="47.25">
      <c r="A466" s="42">
        <v>9990226000</v>
      </c>
      <c r="B466" s="42"/>
      <c r="C466" s="57" t="s">
        <v>162</v>
      </c>
      <c r="D466" s="38">
        <f>D467</f>
        <v>901.3</v>
      </c>
      <c r="E466" s="38">
        <f aca="true" t="shared" si="183" ref="E466">E467</f>
        <v>901.3</v>
      </c>
    </row>
    <row r="467" spans="1:5" ht="63">
      <c r="A467" s="42">
        <v>9990226000</v>
      </c>
      <c r="B467" s="42" t="s">
        <v>71</v>
      </c>
      <c r="C467" s="57" t="s">
        <v>1</v>
      </c>
      <c r="D467" s="38">
        <f>D468</f>
        <v>901.3</v>
      </c>
      <c r="E467" s="38">
        <f aca="true" t="shared" si="184" ref="E467">E468</f>
        <v>901.3</v>
      </c>
    </row>
    <row r="468" spans="1:5" ht="31.5">
      <c r="A468" s="42">
        <v>9990226000</v>
      </c>
      <c r="B468" s="42">
        <v>120</v>
      </c>
      <c r="C468" s="57" t="s">
        <v>258</v>
      </c>
      <c r="D468" s="38">
        <f>'№ 7'!E162+'№ 7'!E145+'№ 7'!E38</f>
        <v>901.3</v>
      </c>
      <c r="E468" s="38">
        <f>'№ 7'!F162+'№ 7'!F145+'№ 7'!F38</f>
        <v>901.3</v>
      </c>
    </row>
    <row r="469" spans="1:5" ht="173.25">
      <c r="A469" s="264">
        <v>9990258792</v>
      </c>
      <c r="B469" s="264"/>
      <c r="C469" s="256" t="s">
        <v>493</v>
      </c>
      <c r="D469" s="38">
        <f>D470</f>
        <v>177.7</v>
      </c>
      <c r="E469" s="38">
        <f>E470</f>
        <v>177.7</v>
      </c>
    </row>
    <row r="470" spans="1:5" ht="63">
      <c r="A470" s="264">
        <v>9990258792</v>
      </c>
      <c r="B470" s="264" t="s">
        <v>71</v>
      </c>
      <c r="C470" s="256" t="s">
        <v>1</v>
      </c>
      <c r="D470" s="38">
        <f>D471</f>
        <v>177.7</v>
      </c>
      <c r="E470" s="38">
        <f>E471</f>
        <v>177.7</v>
      </c>
    </row>
    <row r="471" spans="1:5" ht="31.5">
      <c r="A471" s="264">
        <v>9990258792</v>
      </c>
      <c r="B471" s="264">
        <v>120</v>
      </c>
      <c r="C471" s="256" t="s">
        <v>258</v>
      </c>
      <c r="D471" s="38">
        <f>'№ 7'!E165</f>
        <v>177.7</v>
      </c>
      <c r="E471" s="38">
        <f>'№ 7'!F165</f>
        <v>177.7</v>
      </c>
    </row>
    <row r="472" spans="1:5" ht="31.5">
      <c r="A472" s="132">
        <v>9990259302</v>
      </c>
      <c r="B472" s="42"/>
      <c r="C472" s="57" t="s">
        <v>177</v>
      </c>
      <c r="D472" s="38">
        <f>D473+D475</f>
        <v>1965.3999999999996</v>
      </c>
      <c r="E472" s="38">
        <f aca="true" t="shared" si="185" ref="E472">E473+E475</f>
        <v>1965.4</v>
      </c>
    </row>
    <row r="473" spans="1:5" ht="63">
      <c r="A473" s="132">
        <v>9990259302</v>
      </c>
      <c r="B473" s="42" t="s">
        <v>71</v>
      </c>
      <c r="C473" s="57" t="s">
        <v>1</v>
      </c>
      <c r="D473" s="38">
        <f>D474</f>
        <v>1536.1999999999998</v>
      </c>
      <c r="E473" s="38">
        <f>E474</f>
        <v>1536.2</v>
      </c>
    </row>
    <row r="474" spans="1:5" ht="31.5">
      <c r="A474" s="132">
        <v>9990259302</v>
      </c>
      <c r="B474" s="42">
        <v>120</v>
      </c>
      <c r="C474" s="57" t="s">
        <v>258</v>
      </c>
      <c r="D474" s="38">
        <f>'№ 7'!E168</f>
        <v>1536.1999999999998</v>
      </c>
      <c r="E474" s="38">
        <f>'№ 7'!F168</f>
        <v>1536.2</v>
      </c>
    </row>
    <row r="475" spans="1:5" ht="31.5">
      <c r="A475" s="132">
        <v>9990259302</v>
      </c>
      <c r="B475" s="42" t="s">
        <v>72</v>
      </c>
      <c r="C475" s="57" t="s">
        <v>95</v>
      </c>
      <c r="D475" s="38">
        <f>D476</f>
        <v>429.19999999999993</v>
      </c>
      <c r="E475" s="38">
        <f aca="true" t="shared" si="186" ref="E475">E476</f>
        <v>429.2</v>
      </c>
    </row>
    <row r="476" spans="1:5" ht="31.5">
      <c r="A476" s="132">
        <v>9990259302</v>
      </c>
      <c r="B476" s="42">
        <v>240</v>
      </c>
      <c r="C476" s="57" t="s">
        <v>257</v>
      </c>
      <c r="D476" s="38">
        <f>'№ 7'!E170</f>
        <v>429.19999999999993</v>
      </c>
      <c r="E476" s="38">
        <f>'№ 7'!F170</f>
        <v>429.2</v>
      </c>
    </row>
    <row r="477" spans="1:5" ht="31.5">
      <c r="A477" s="42">
        <v>9990300000</v>
      </c>
      <c r="B477" s="42"/>
      <c r="C477" s="57" t="s">
        <v>175</v>
      </c>
      <c r="D477" s="38">
        <f>D478+D480+D484+D482</f>
        <v>25718.999999999996</v>
      </c>
      <c r="E477" s="38">
        <f aca="true" t="shared" si="187" ref="E477">E478+E480+E484+E482</f>
        <v>24575.899999999998</v>
      </c>
    </row>
    <row r="478" spans="1:5" ht="63">
      <c r="A478" s="42">
        <v>9990300000</v>
      </c>
      <c r="B478" s="42" t="s">
        <v>71</v>
      </c>
      <c r="C478" s="57" t="s">
        <v>1</v>
      </c>
      <c r="D478" s="38">
        <f>D479</f>
        <v>18335.199999999997</v>
      </c>
      <c r="E478" s="38">
        <f aca="true" t="shared" si="188" ref="E478">E479</f>
        <v>18334</v>
      </c>
    </row>
    <row r="479" spans="1:5" ht="12.75">
      <c r="A479" s="42">
        <v>9990300000</v>
      </c>
      <c r="B479" s="42">
        <v>110</v>
      </c>
      <c r="C479" s="60" t="s">
        <v>176</v>
      </c>
      <c r="D479" s="38">
        <f>'№ 7'!E148</f>
        <v>18335.199999999997</v>
      </c>
      <c r="E479" s="38">
        <f>'№ 7'!F148</f>
        <v>18334</v>
      </c>
    </row>
    <row r="480" spans="1:5" ht="31.5">
      <c r="A480" s="42">
        <v>9990300000</v>
      </c>
      <c r="B480" s="42" t="s">
        <v>72</v>
      </c>
      <c r="C480" s="57" t="s">
        <v>95</v>
      </c>
      <c r="D480" s="38">
        <f>D481</f>
        <v>7313.5</v>
      </c>
      <c r="E480" s="38">
        <f aca="true" t="shared" si="189" ref="E480">E481</f>
        <v>6171.6</v>
      </c>
    </row>
    <row r="481" spans="1:5" ht="31.5">
      <c r="A481" s="42">
        <v>9990300000</v>
      </c>
      <c r="B481" s="42">
        <v>240</v>
      </c>
      <c r="C481" s="57" t="s">
        <v>257</v>
      </c>
      <c r="D481" s="38">
        <f>'№ 7'!E150</f>
        <v>7313.5</v>
      </c>
      <c r="E481" s="38">
        <f>'№ 7'!F150</f>
        <v>6171.6</v>
      </c>
    </row>
    <row r="482" spans="1:5" ht="12.75">
      <c r="A482" s="252">
        <v>9990300000</v>
      </c>
      <c r="B482" s="254" t="s">
        <v>76</v>
      </c>
      <c r="C482" s="253" t="s">
        <v>77</v>
      </c>
      <c r="D482" s="38">
        <f>D483</f>
        <v>42.7</v>
      </c>
      <c r="E482" s="38">
        <f aca="true" t="shared" si="190" ref="E482">E483</f>
        <v>42.7</v>
      </c>
    </row>
    <row r="483" spans="1:5" ht="31.5">
      <c r="A483" s="252">
        <v>9990300000</v>
      </c>
      <c r="B483" s="252">
        <v>320</v>
      </c>
      <c r="C483" s="253" t="s">
        <v>104</v>
      </c>
      <c r="D483" s="38">
        <f>'№ 7'!E152</f>
        <v>42.7</v>
      </c>
      <c r="E483" s="38">
        <f>'№ 7'!F152</f>
        <v>42.7</v>
      </c>
    </row>
    <row r="484" spans="1:5" ht="12.75">
      <c r="A484" s="42">
        <v>9990300000</v>
      </c>
      <c r="B484" s="42" t="s">
        <v>73</v>
      </c>
      <c r="C484" s="57" t="s">
        <v>74</v>
      </c>
      <c r="D484" s="38">
        <f>D485</f>
        <v>27.6</v>
      </c>
      <c r="E484" s="38">
        <f aca="true" t="shared" si="191" ref="E484">E485</f>
        <v>27.6</v>
      </c>
    </row>
    <row r="485" spans="1:5" ht="12.75">
      <c r="A485" s="42">
        <v>9990300000</v>
      </c>
      <c r="B485" s="42">
        <v>850</v>
      </c>
      <c r="C485" s="57" t="s">
        <v>102</v>
      </c>
      <c r="D485" s="38">
        <f>'№ 7'!E154</f>
        <v>27.6</v>
      </c>
      <c r="E485" s="38">
        <f>'№ 7'!F154</f>
        <v>27.6</v>
      </c>
    </row>
    <row r="487" spans="1:11" ht="12.75">
      <c r="A487" s="199"/>
      <c r="B487" s="199"/>
      <c r="C487" s="200"/>
      <c r="D487" s="201"/>
      <c r="E487" s="201"/>
      <c r="F487" s="199"/>
      <c r="K487" s="199"/>
    </row>
    <row r="488" spans="1:11" ht="12.75">
      <c r="A488" s="199"/>
      <c r="B488" s="199"/>
      <c r="C488" s="200"/>
      <c r="D488" s="201"/>
      <c r="E488" s="201"/>
      <c r="F488" s="199"/>
      <c r="K488" s="199"/>
    </row>
    <row r="489" spans="1:11" ht="12.75">
      <c r="A489" s="199"/>
      <c r="B489" s="199"/>
      <c r="C489" s="200"/>
      <c r="D489" s="201"/>
      <c r="E489" s="201"/>
      <c r="F489" s="199"/>
      <c r="K489" s="199"/>
    </row>
    <row r="490" spans="1:11" ht="12.75">
      <c r="A490" s="199"/>
      <c r="B490" s="199"/>
      <c r="C490" s="200"/>
      <c r="D490" s="201"/>
      <c r="E490" s="201"/>
      <c r="F490" s="199"/>
      <c r="K490" s="199"/>
    </row>
    <row r="491" spans="1:11" ht="12.75">
      <c r="A491" s="199"/>
      <c r="B491" s="199"/>
      <c r="C491" s="200"/>
      <c r="D491" s="201"/>
      <c r="E491" s="201"/>
      <c r="F491" s="199"/>
      <c r="K491" s="199"/>
    </row>
    <row r="492" spans="1:11" ht="12.75">
      <c r="A492" s="199"/>
      <c r="B492" s="199"/>
      <c r="C492" s="200"/>
      <c r="D492" s="201"/>
      <c r="E492" s="201"/>
      <c r="F492" s="199"/>
      <c r="K492" s="199"/>
    </row>
    <row r="493" spans="1:11" ht="12.75">
      <c r="A493" s="199"/>
      <c r="B493" s="199"/>
      <c r="C493" s="200"/>
      <c r="D493" s="201"/>
      <c r="E493" s="201"/>
      <c r="F493" s="199"/>
      <c r="K493" s="199"/>
    </row>
    <row r="494" spans="1:11" ht="12.75">
      <c r="A494" s="199"/>
      <c r="B494" s="199"/>
      <c r="C494" s="200"/>
      <c r="D494" s="201"/>
      <c r="E494" s="201"/>
      <c r="F494" s="199"/>
      <c r="K494" s="199"/>
    </row>
    <row r="495" spans="1:11" ht="12.75">
      <c r="A495" s="199"/>
      <c r="B495" s="199"/>
      <c r="C495" s="200"/>
      <c r="D495" s="201"/>
      <c r="E495" s="201"/>
      <c r="F495" s="199"/>
      <c r="K495" s="199"/>
    </row>
    <row r="496" spans="1:11" ht="12.75">
      <c r="A496" s="199"/>
      <c r="B496" s="199"/>
      <c r="C496" s="200"/>
      <c r="D496" s="201"/>
      <c r="E496" s="201"/>
      <c r="F496" s="199"/>
      <c r="K496" s="199"/>
    </row>
    <row r="497" spans="1:11" ht="12.75">
      <c r="A497" s="199"/>
      <c r="B497" s="199"/>
      <c r="C497" s="200"/>
      <c r="D497" s="201"/>
      <c r="E497" s="201"/>
      <c r="F497" s="199"/>
      <c r="K497" s="199"/>
    </row>
    <row r="498" spans="1:11" ht="12.75">
      <c r="A498" s="199"/>
      <c r="B498" s="199"/>
      <c r="C498" s="200"/>
      <c r="D498" s="201"/>
      <c r="E498" s="201"/>
      <c r="F498" s="199"/>
      <c r="K498" s="199"/>
    </row>
    <row r="499" spans="1:11" ht="12.75">
      <c r="A499" s="199"/>
      <c r="B499" s="199"/>
      <c r="C499" s="200"/>
      <c r="D499" s="201"/>
      <c r="E499" s="201"/>
      <c r="F499" s="199"/>
      <c r="K499" s="199"/>
    </row>
    <row r="500" spans="1:11" ht="12.75">
      <c r="A500" s="199"/>
      <c r="B500" s="199"/>
      <c r="C500" s="200"/>
      <c r="D500" s="201"/>
      <c r="E500" s="201"/>
      <c r="F500" s="199"/>
      <c r="K500" s="199"/>
    </row>
    <row r="501" spans="1:11" ht="12.75">
      <c r="A501" s="199"/>
      <c r="B501" s="199"/>
      <c r="C501" s="200"/>
      <c r="D501" s="201"/>
      <c r="E501" s="201"/>
      <c r="F501" s="199"/>
      <c r="K501" s="199"/>
    </row>
    <row r="502" spans="1:11" ht="12.75">
      <c r="A502" s="199"/>
      <c r="B502" s="199"/>
      <c r="C502" s="200"/>
      <c r="D502" s="201"/>
      <c r="E502" s="201"/>
      <c r="F502" s="199"/>
      <c r="K502" s="199"/>
    </row>
    <row r="503" spans="1:11" ht="12.75">
      <c r="A503" s="199"/>
      <c r="B503" s="199"/>
      <c r="C503" s="200"/>
      <c r="D503" s="201"/>
      <c r="E503" s="201"/>
      <c r="F503" s="199"/>
      <c r="K503" s="199"/>
    </row>
    <row r="504" spans="1:11" ht="12.75">
      <c r="A504" s="199"/>
      <c r="B504" s="199"/>
      <c r="C504" s="200"/>
      <c r="D504" s="201"/>
      <c r="E504" s="201"/>
      <c r="F504" s="199"/>
      <c r="K504" s="199"/>
    </row>
    <row r="505" spans="1:11" ht="12.75">
      <c r="A505" s="199"/>
      <c r="B505" s="199"/>
      <c r="C505" s="200"/>
      <c r="D505" s="201"/>
      <c r="E505" s="201"/>
      <c r="F505" s="199"/>
      <c r="K505" s="199"/>
    </row>
    <row r="506" spans="1:11" ht="12.75">
      <c r="A506" s="199"/>
      <c r="B506" s="199"/>
      <c r="C506" s="200"/>
      <c r="D506" s="201"/>
      <c r="E506" s="201"/>
      <c r="F506" s="199"/>
      <c r="K506" s="199"/>
    </row>
    <row r="507" spans="1:11" ht="12.75">
      <c r="A507" s="199"/>
      <c r="B507" s="199"/>
      <c r="C507" s="200"/>
      <c r="D507" s="201"/>
      <c r="E507" s="201"/>
      <c r="F507" s="199"/>
      <c r="K507" s="199"/>
    </row>
    <row r="508" spans="1:11" ht="12.75">
      <c r="A508" s="199"/>
      <c r="B508" s="199"/>
      <c r="C508" s="200"/>
      <c r="D508" s="201"/>
      <c r="E508" s="201"/>
      <c r="F508" s="199"/>
      <c r="K508" s="199"/>
    </row>
    <row r="509" spans="1:11" ht="12.75">
      <c r="A509" s="199"/>
      <c r="B509" s="199"/>
      <c r="C509" s="200"/>
      <c r="D509" s="201"/>
      <c r="E509" s="201"/>
      <c r="F509" s="199"/>
      <c r="K509" s="199"/>
    </row>
    <row r="510" spans="1:11" ht="12.75">
      <c r="A510" s="199"/>
      <c r="B510" s="199"/>
      <c r="C510" s="200"/>
      <c r="D510" s="201"/>
      <c r="E510" s="201"/>
      <c r="F510" s="199"/>
      <c r="K510" s="199"/>
    </row>
    <row r="511" spans="1:11" ht="12.75">
      <c r="A511" s="199"/>
      <c r="B511" s="199"/>
      <c r="C511" s="200"/>
      <c r="D511" s="201"/>
      <c r="E511" s="201"/>
      <c r="F511" s="199"/>
      <c r="K511" s="199"/>
    </row>
    <row r="512" spans="1:11" ht="12.75">
      <c r="A512" s="199"/>
      <c r="B512" s="199"/>
      <c r="C512" s="200"/>
      <c r="D512" s="201"/>
      <c r="E512" s="201"/>
      <c r="F512" s="199"/>
      <c r="K512" s="199"/>
    </row>
    <row r="513" spans="1:11" ht="12.75">
      <c r="A513" s="199"/>
      <c r="B513" s="199"/>
      <c r="C513" s="200"/>
      <c r="D513" s="201"/>
      <c r="E513" s="201"/>
      <c r="F513" s="199"/>
      <c r="K513" s="199"/>
    </row>
    <row r="514" spans="1:11" ht="12.75">
      <c r="A514" s="199"/>
      <c r="B514" s="199"/>
      <c r="C514" s="200"/>
      <c r="D514" s="201"/>
      <c r="E514" s="201"/>
      <c r="F514" s="199"/>
      <c r="K514" s="199"/>
    </row>
    <row r="515" spans="1:11" ht="12.75">
      <c r="A515" s="199"/>
      <c r="B515" s="199"/>
      <c r="C515" s="200"/>
      <c r="D515" s="201"/>
      <c r="E515" s="201"/>
      <c r="F515" s="199"/>
      <c r="K515" s="199"/>
    </row>
    <row r="516" spans="1:11" ht="12.75">
      <c r="A516" s="199"/>
      <c r="B516" s="199"/>
      <c r="C516" s="200"/>
      <c r="D516" s="201"/>
      <c r="E516" s="201"/>
      <c r="F516" s="199"/>
      <c r="K516" s="199"/>
    </row>
    <row r="517" spans="1:11" ht="12.75">
      <c r="A517" s="199"/>
      <c r="B517" s="199"/>
      <c r="C517" s="200"/>
      <c r="D517" s="201"/>
      <c r="E517" s="201"/>
      <c r="F517" s="199"/>
      <c r="K517" s="199"/>
    </row>
    <row r="518" spans="1:11" ht="12.75">
      <c r="A518" s="199"/>
      <c r="B518" s="199"/>
      <c r="C518" s="200"/>
      <c r="D518" s="201"/>
      <c r="E518" s="201"/>
      <c r="F518" s="199"/>
      <c r="K518" s="199"/>
    </row>
    <row r="519" spans="1:11" ht="12.75">
      <c r="A519" s="199"/>
      <c r="B519" s="199"/>
      <c r="C519" s="200"/>
      <c r="D519" s="201"/>
      <c r="E519" s="201"/>
      <c r="F519" s="199"/>
      <c r="K519" s="199"/>
    </row>
    <row r="520" spans="1:11" ht="12.75">
      <c r="A520" s="199"/>
      <c r="B520" s="199"/>
      <c r="C520" s="200"/>
      <c r="D520" s="201"/>
      <c r="E520" s="201"/>
      <c r="F520" s="199"/>
      <c r="K520" s="199"/>
    </row>
    <row r="521" spans="1:11" ht="12.75">
      <c r="A521" s="199"/>
      <c r="B521" s="199"/>
      <c r="C521" s="200"/>
      <c r="D521" s="201"/>
      <c r="E521" s="201"/>
      <c r="F521" s="199"/>
      <c r="K521" s="199"/>
    </row>
    <row r="522" spans="1:11" ht="12.75">
      <c r="A522" s="199"/>
      <c r="B522" s="199"/>
      <c r="C522" s="200"/>
      <c r="D522" s="201"/>
      <c r="E522" s="201"/>
      <c r="F522" s="199"/>
      <c r="K522" s="199"/>
    </row>
    <row r="523" spans="1:11" ht="12.75">
      <c r="A523" s="199"/>
      <c r="B523" s="199"/>
      <c r="C523" s="200"/>
      <c r="D523" s="201"/>
      <c r="E523" s="201"/>
      <c r="F523" s="199"/>
      <c r="K523" s="199"/>
    </row>
    <row r="524" spans="1:11" ht="12.75">
      <c r="A524" s="199"/>
      <c r="B524" s="199"/>
      <c r="C524" s="200"/>
      <c r="D524" s="201"/>
      <c r="E524" s="201"/>
      <c r="F524" s="199"/>
      <c r="K524" s="199"/>
    </row>
    <row r="525" spans="1:11" ht="12.75">
      <c r="A525" s="199"/>
      <c r="B525" s="199"/>
      <c r="C525" s="200"/>
      <c r="D525" s="201"/>
      <c r="E525" s="201"/>
      <c r="F525" s="199"/>
      <c r="K525" s="199"/>
    </row>
    <row r="526" spans="1:11" ht="12.75">
      <c r="A526" s="199"/>
      <c r="B526" s="199"/>
      <c r="C526" s="200"/>
      <c r="D526" s="201"/>
      <c r="E526" s="201"/>
      <c r="F526" s="199"/>
      <c r="K526" s="199"/>
    </row>
    <row r="527" spans="1:11" ht="12.75">
      <c r="A527" s="199"/>
      <c r="B527" s="199"/>
      <c r="C527" s="200"/>
      <c r="D527" s="201"/>
      <c r="E527" s="201"/>
      <c r="F527" s="199"/>
      <c r="K527" s="199"/>
    </row>
    <row r="528" spans="1:11" ht="12.75">
      <c r="A528" s="199"/>
      <c r="B528" s="199"/>
      <c r="C528" s="200"/>
      <c r="D528" s="201"/>
      <c r="E528" s="201"/>
      <c r="F528" s="199"/>
      <c r="K528" s="199"/>
    </row>
    <row r="529" spans="1:11" ht="12.75">
      <c r="A529" s="199"/>
      <c r="B529" s="199"/>
      <c r="C529" s="200"/>
      <c r="D529" s="201"/>
      <c r="E529" s="201"/>
      <c r="F529" s="199"/>
      <c r="K529" s="199"/>
    </row>
    <row r="530" spans="1:11" ht="12.75">
      <c r="A530" s="199"/>
      <c r="B530" s="199"/>
      <c r="C530" s="200"/>
      <c r="D530" s="201"/>
      <c r="E530" s="201"/>
      <c r="F530" s="199"/>
      <c r="K530" s="199"/>
    </row>
    <row r="531" spans="1:11" ht="12.75">
      <c r="A531" s="199"/>
      <c r="B531" s="199"/>
      <c r="C531" s="200"/>
      <c r="D531" s="201"/>
      <c r="E531" s="201"/>
      <c r="F531" s="199"/>
      <c r="K531" s="199"/>
    </row>
    <row r="532" spans="1:11" ht="12.75">
      <c r="A532" s="199"/>
      <c r="B532" s="199"/>
      <c r="C532" s="200"/>
      <c r="D532" s="201"/>
      <c r="E532" s="201"/>
      <c r="F532" s="199"/>
      <c r="K532" s="199"/>
    </row>
    <row r="533" spans="1:11" ht="12.75">
      <c r="A533" s="199"/>
      <c r="B533" s="199"/>
      <c r="C533" s="200"/>
      <c r="D533" s="201"/>
      <c r="E533" s="201"/>
      <c r="F533" s="199"/>
      <c r="K533" s="199"/>
    </row>
    <row r="534" spans="1:11" ht="12.75">
      <c r="A534" s="199"/>
      <c r="B534" s="199"/>
      <c r="C534" s="200"/>
      <c r="D534" s="201"/>
      <c r="E534" s="201"/>
      <c r="F534" s="199"/>
      <c r="K534" s="199"/>
    </row>
    <row r="535" spans="1:11" ht="12.75">
      <c r="A535" s="199"/>
      <c r="B535" s="199"/>
      <c r="C535" s="200"/>
      <c r="D535" s="201"/>
      <c r="E535" s="201"/>
      <c r="F535" s="199"/>
      <c r="K535" s="199"/>
    </row>
    <row r="536" spans="1:11" ht="12.75">
      <c r="A536" s="199"/>
      <c r="B536" s="199"/>
      <c r="C536" s="200"/>
      <c r="D536" s="201"/>
      <c r="E536" s="201"/>
      <c r="F536" s="199"/>
      <c r="K536" s="199"/>
    </row>
    <row r="537" spans="1:11" ht="12.75">
      <c r="A537" s="199"/>
      <c r="B537" s="199"/>
      <c r="C537" s="200"/>
      <c r="D537" s="201"/>
      <c r="E537" s="201"/>
      <c r="F537" s="199"/>
      <c r="K537" s="199"/>
    </row>
    <row r="538" spans="1:11" ht="12.75">
      <c r="A538" s="199"/>
      <c r="B538" s="199"/>
      <c r="C538" s="200"/>
      <c r="D538" s="201"/>
      <c r="E538" s="201"/>
      <c r="F538" s="199"/>
      <c r="K538" s="199"/>
    </row>
    <row r="539" spans="1:11" ht="12.75">
      <c r="A539" s="199"/>
      <c r="B539" s="199"/>
      <c r="C539" s="200"/>
      <c r="D539" s="201"/>
      <c r="E539" s="201"/>
      <c r="F539" s="199"/>
      <c r="K539" s="199"/>
    </row>
    <row r="540" spans="1:11" ht="12.75">
      <c r="A540" s="199"/>
      <c r="B540" s="199"/>
      <c r="C540" s="200"/>
      <c r="D540" s="201"/>
      <c r="E540" s="201"/>
      <c r="F540" s="199"/>
      <c r="K540" s="199"/>
    </row>
    <row r="541" spans="1:11" ht="12.75">
      <c r="A541" s="199"/>
      <c r="B541" s="199"/>
      <c r="C541" s="200"/>
      <c r="D541" s="201"/>
      <c r="E541" s="201"/>
      <c r="F541" s="199"/>
      <c r="K541" s="199"/>
    </row>
    <row r="542" spans="1:11" ht="12.75">
      <c r="A542" s="199"/>
      <c r="B542" s="199"/>
      <c r="C542" s="200"/>
      <c r="D542" s="201"/>
      <c r="E542" s="201"/>
      <c r="F542" s="199"/>
      <c r="K542" s="199"/>
    </row>
    <row r="543" spans="1:11" ht="12.75">
      <c r="A543" s="199"/>
      <c r="B543" s="199"/>
      <c r="C543" s="200"/>
      <c r="D543" s="201"/>
      <c r="E543" s="201"/>
      <c r="F543" s="199"/>
      <c r="K543" s="199"/>
    </row>
    <row r="544" spans="1:11" ht="12.75">
      <c r="A544" s="199"/>
      <c r="B544" s="199"/>
      <c r="C544" s="200"/>
      <c r="D544" s="201"/>
      <c r="E544" s="201"/>
      <c r="F544" s="199"/>
      <c r="K544" s="199"/>
    </row>
    <row r="545" spans="1:11" ht="12.75">
      <c r="A545" s="199"/>
      <c r="B545" s="199"/>
      <c r="C545" s="200"/>
      <c r="D545" s="201"/>
      <c r="E545" s="201"/>
      <c r="F545" s="199"/>
      <c r="K545" s="199"/>
    </row>
    <row r="546" spans="1:11" ht="12.75">
      <c r="A546" s="199"/>
      <c r="B546" s="199"/>
      <c r="C546" s="200"/>
      <c r="D546" s="201"/>
      <c r="E546" s="201"/>
      <c r="F546" s="199"/>
      <c r="K546" s="199"/>
    </row>
    <row r="547" spans="1:11" ht="12.75">
      <c r="A547" s="199"/>
      <c r="B547" s="199"/>
      <c r="C547" s="200"/>
      <c r="D547" s="201"/>
      <c r="E547" s="201"/>
      <c r="F547" s="199"/>
      <c r="K547" s="199"/>
    </row>
    <row r="548" spans="1:11" ht="12.75">
      <c r="A548" s="199"/>
      <c r="B548" s="199"/>
      <c r="C548" s="200"/>
      <c r="D548" s="201"/>
      <c r="E548" s="201"/>
      <c r="F548" s="199"/>
      <c r="K548" s="199"/>
    </row>
    <row r="549" spans="1:11" ht="12.75">
      <c r="A549" s="199"/>
      <c r="B549" s="199"/>
      <c r="C549" s="200"/>
      <c r="D549" s="201"/>
      <c r="E549" s="201"/>
      <c r="F549" s="199"/>
      <c r="K549" s="199"/>
    </row>
    <row r="550" spans="1:11" ht="12.75">
      <c r="A550" s="199"/>
      <c r="B550" s="199"/>
      <c r="C550" s="200"/>
      <c r="D550" s="201"/>
      <c r="E550" s="201"/>
      <c r="F550" s="199"/>
      <c r="K550" s="199"/>
    </row>
    <row r="551" spans="1:11" ht="12.75">
      <c r="A551" s="199"/>
      <c r="B551" s="199"/>
      <c r="C551" s="200"/>
      <c r="D551" s="201"/>
      <c r="E551" s="201"/>
      <c r="F551" s="199"/>
      <c r="K551" s="199"/>
    </row>
    <row r="552" spans="1:11" ht="12.75">
      <c r="A552" s="199"/>
      <c r="B552" s="199"/>
      <c r="C552" s="200"/>
      <c r="D552" s="201"/>
      <c r="E552" s="201"/>
      <c r="F552" s="199"/>
      <c r="K552" s="199"/>
    </row>
    <row r="553" spans="1:11" ht="12.75">
      <c r="A553" s="199"/>
      <c r="B553" s="199"/>
      <c r="C553" s="200"/>
      <c r="D553" s="201"/>
      <c r="E553" s="201"/>
      <c r="F553" s="199"/>
      <c r="K553" s="199"/>
    </row>
    <row r="554" spans="1:11" ht="12.75">
      <c r="A554" s="199"/>
      <c r="B554" s="199"/>
      <c r="C554" s="200"/>
      <c r="D554" s="201"/>
      <c r="E554" s="201"/>
      <c r="F554" s="199"/>
      <c r="K554" s="199"/>
    </row>
    <row r="555" spans="1:11" ht="12.75">
      <c r="A555" s="199"/>
      <c r="B555" s="199"/>
      <c r="C555" s="200"/>
      <c r="D555" s="201"/>
      <c r="E555" s="201"/>
      <c r="F555" s="199"/>
      <c r="K555" s="199"/>
    </row>
    <row r="556" spans="1:11" ht="12.75">
      <c r="A556" s="199"/>
      <c r="B556" s="199"/>
      <c r="C556" s="200"/>
      <c r="D556" s="201"/>
      <c r="E556" s="201"/>
      <c r="F556" s="199"/>
      <c r="K556" s="199"/>
    </row>
    <row r="557" spans="1:11" ht="12.75">
      <c r="A557" s="199"/>
      <c r="B557" s="199"/>
      <c r="C557" s="200"/>
      <c r="D557" s="201"/>
      <c r="E557" s="201"/>
      <c r="F557" s="199"/>
      <c r="K557" s="199"/>
    </row>
    <row r="558" spans="1:11" ht="12.75">
      <c r="A558" s="199"/>
      <c r="B558" s="199"/>
      <c r="C558" s="200"/>
      <c r="D558" s="201"/>
      <c r="E558" s="201"/>
      <c r="F558" s="199"/>
      <c r="K558" s="199"/>
    </row>
    <row r="559" spans="1:11" ht="12.75">
      <c r="A559" s="199"/>
      <c r="B559" s="199"/>
      <c r="C559" s="200"/>
      <c r="D559" s="201"/>
      <c r="E559" s="201"/>
      <c r="F559" s="199"/>
      <c r="K559" s="199"/>
    </row>
    <row r="560" spans="1:11" ht="12.75">
      <c r="A560" s="199"/>
      <c r="B560" s="199"/>
      <c r="C560" s="200"/>
      <c r="D560" s="201"/>
      <c r="E560" s="201"/>
      <c r="F560" s="199"/>
      <c r="K560" s="199"/>
    </row>
    <row r="561" spans="1:11" ht="12.75">
      <c r="A561" s="199"/>
      <c r="B561" s="199"/>
      <c r="C561" s="200"/>
      <c r="D561" s="201"/>
      <c r="E561" s="201"/>
      <c r="F561" s="199"/>
      <c r="K561" s="199"/>
    </row>
    <row r="562" spans="1:11" ht="12.75">
      <c r="A562" s="199"/>
      <c r="B562" s="199"/>
      <c r="C562" s="200"/>
      <c r="D562" s="201"/>
      <c r="E562" s="201"/>
      <c r="F562" s="199"/>
      <c r="K562" s="199"/>
    </row>
    <row r="563" spans="1:11" ht="12.75">
      <c r="A563" s="199"/>
      <c r="B563" s="199"/>
      <c r="C563" s="200"/>
      <c r="D563" s="201"/>
      <c r="E563" s="201"/>
      <c r="F563" s="199"/>
      <c r="K563" s="199"/>
    </row>
    <row r="564" spans="1:11" ht="12.75">
      <c r="A564" s="199"/>
      <c r="B564" s="199"/>
      <c r="C564" s="200"/>
      <c r="D564" s="201"/>
      <c r="E564" s="201"/>
      <c r="F564" s="199"/>
      <c r="K564" s="199"/>
    </row>
    <row r="565" spans="1:11" ht="12.75">
      <c r="A565" s="199"/>
      <c r="B565" s="199"/>
      <c r="C565" s="200"/>
      <c r="D565" s="201"/>
      <c r="E565" s="201"/>
      <c r="F565" s="199"/>
      <c r="K565" s="199"/>
    </row>
    <row r="566" spans="1:11" ht="12.75">
      <c r="A566" s="199"/>
      <c r="B566" s="199"/>
      <c r="C566" s="200"/>
      <c r="D566" s="201"/>
      <c r="E566" s="201"/>
      <c r="F566" s="199"/>
      <c r="K566" s="199"/>
    </row>
    <row r="567" spans="1:11" ht="12.75">
      <c r="A567" s="199"/>
      <c r="B567" s="199"/>
      <c r="C567" s="200"/>
      <c r="D567" s="201"/>
      <c r="E567" s="201"/>
      <c r="F567" s="199"/>
      <c r="K567" s="199"/>
    </row>
    <row r="568" spans="1:11" ht="12.75">
      <c r="A568" s="199"/>
      <c r="B568" s="199"/>
      <c r="C568" s="200"/>
      <c r="D568" s="201"/>
      <c r="E568" s="201"/>
      <c r="F568" s="199"/>
      <c r="K568" s="199"/>
    </row>
    <row r="569" spans="1:11" ht="12.75">
      <c r="A569" s="199"/>
      <c r="B569" s="199"/>
      <c r="C569" s="200"/>
      <c r="D569" s="201"/>
      <c r="E569" s="201"/>
      <c r="F569" s="199"/>
      <c r="K569" s="199"/>
    </row>
    <row r="570" spans="1:11" ht="12.75">
      <c r="A570" s="199"/>
      <c r="B570" s="199"/>
      <c r="C570" s="200"/>
      <c r="D570" s="201"/>
      <c r="E570" s="201"/>
      <c r="F570" s="199"/>
      <c r="K570" s="199"/>
    </row>
    <row r="571" spans="1:11" ht="12.75">
      <c r="A571" s="199"/>
      <c r="B571" s="199"/>
      <c r="C571" s="200"/>
      <c r="D571" s="201"/>
      <c r="E571" s="201"/>
      <c r="F571" s="199"/>
      <c r="K571" s="199"/>
    </row>
    <row r="572" spans="1:11" ht="12.75">
      <c r="A572" s="199"/>
      <c r="B572" s="199"/>
      <c r="C572" s="200"/>
      <c r="D572" s="201"/>
      <c r="E572" s="201"/>
      <c r="F572" s="199"/>
      <c r="K572" s="199"/>
    </row>
    <row r="573" spans="1:11" ht="12.75">
      <c r="A573" s="199"/>
      <c r="B573" s="199"/>
      <c r="C573" s="200"/>
      <c r="D573" s="201"/>
      <c r="E573" s="201"/>
      <c r="F573" s="199"/>
      <c r="K573" s="199"/>
    </row>
    <row r="574" spans="1:11" ht="12.75">
      <c r="A574" s="199"/>
      <c r="B574" s="199"/>
      <c r="C574" s="200"/>
      <c r="D574" s="201"/>
      <c r="E574" s="201"/>
      <c r="F574" s="199"/>
      <c r="K574" s="199"/>
    </row>
    <row r="575" spans="1:11" ht="12.75">
      <c r="A575" s="199"/>
      <c r="B575" s="199"/>
      <c r="C575" s="200"/>
      <c r="D575" s="201"/>
      <c r="E575" s="201"/>
      <c r="F575" s="199"/>
      <c r="K575" s="199"/>
    </row>
    <row r="576" spans="1:11" ht="12.75">
      <c r="A576" s="199"/>
      <c r="B576" s="199"/>
      <c r="C576" s="200"/>
      <c r="D576" s="201"/>
      <c r="E576" s="201"/>
      <c r="F576" s="199"/>
      <c r="K576" s="199"/>
    </row>
    <row r="577" spans="1:11" ht="12.75">
      <c r="A577" s="199"/>
      <c r="B577" s="199"/>
      <c r="C577" s="200"/>
      <c r="D577" s="201"/>
      <c r="E577" s="201"/>
      <c r="F577" s="199"/>
      <c r="K577" s="199"/>
    </row>
    <row r="578" spans="1:11" ht="12.75">
      <c r="A578" s="199"/>
      <c r="B578" s="199"/>
      <c r="C578" s="200"/>
      <c r="D578" s="201"/>
      <c r="E578" s="201"/>
      <c r="F578" s="199"/>
      <c r="K578" s="199"/>
    </row>
    <row r="579" spans="1:11" ht="12.75">
      <c r="A579" s="199"/>
      <c r="B579" s="199"/>
      <c r="C579" s="200"/>
      <c r="D579" s="201"/>
      <c r="E579" s="201"/>
      <c r="F579" s="199"/>
      <c r="K579" s="199"/>
    </row>
    <row r="580" spans="1:11" ht="12.75">
      <c r="A580" s="199"/>
      <c r="B580" s="199"/>
      <c r="C580" s="200"/>
      <c r="D580" s="201"/>
      <c r="E580" s="201"/>
      <c r="F580" s="199"/>
      <c r="K580" s="199"/>
    </row>
    <row r="581" spans="1:11" ht="12.75">
      <c r="A581" s="199"/>
      <c r="B581" s="199"/>
      <c r="C581" s="200"/>
      <c r="D581" s="201"/>
      <c r="E581" s="201"/>
      <c r="F581" s="199"/>
      <c r="K581" s="199"/>
    </row>
    <row r="582" spans="1:11" ht="12.75">
      <c r="A582" s="199"/>
      <c r="B582" s="199"/>
      <c r="C582" s="200"/>
      <c r="D582" s="201"/>
      <c r="E582" s="201"/>
      <c r="F582" s="199"/>
      <c r="K582" s="199"/>
    </row>
    <row r="583" spans="1:11" ht="12.75">
      <c r="A583" s="199"/>
      <c r="B583" s="199"/>
      <c r="C583" s="200"/>
      <c r="D583" s="201"/>
      <c r="E583" s="201"/>
      <c r="F583" s="199"/>
      <c r="K583" s="199"/>
    </row>
    <row r="584" spans="1:11" ht="12.75">
      <c r="A584" s="199"/>
      <c r="B584" s="199"/>
      <c r="C584" s="200"/>
      <c r="D584" s="201"/>
      <c r="E584" s="201"/>
      <c r="F584" s="199"/>
      <c r="K584" s="199"/>
    </row>
    <row r="585" spans="1:11" ht="12.75">
      <c r="A585" s="199"/>
      <c r="B585" s="199"/>
      <c r="C585" s="200"/>
      <c r="D585" s="201"/>
      <c r="E585" s="201"/>
      <c r="F585" s="199"/>
      <c r="K585" s="199"/>
    </row>
    <row r="586" spans="1:11" ht="12.75">
      <c r="A586" s="199"/>
      <c r="B586" s="199"/>
      <c r="C586" s="200"/>
      <c r="D586" s="201"/>
      <c r="E586" s="201"/>
      <c r="F586" s="199"/>
      <c r="K586" s="199"/>
    </row>
    <row r="587" spans="1:11" ht="12.75">
      <c r="A587" s="199"/>
      <c r="B587" s="199"/>
      <c r="C587" s="200"/>
      <c r="D587" s="201"/>
      <c r="E587" s="201"/>
      <c r="F587" s="199"/>
      <c r="K587" s="199"/>
    </row>
    <row r="588" spans="1:11" ht="12.75">
      <c r="A588" s="199"/>
      <c r="B588" s="199"/>
      <c r="C588" s="200"/>
      <c r="D588" s="201"/>
      <c r="E588" s="201"/>
      <c r="F588" s="199"/>
      <c r="K588" s="199"/>
    </row>
    <row r="589" spans="1:11" ht="12.75">
      <c r="A589" s="199"/>
      <c r="B589" s="199"/>
      <c r="C589" s="200"/>
      <c r="D589" s="201"/>
      <c r="E589" s="201"/>
      <c r="F589" s="199"/>
      <c r="K589" s="199"/>
    </row>
    <row r="590" spans="1:11" ht="12.75">
      <c r="A590" s="199"/>
      <c r="B590" s="199"/>
      <c r="C590" s="200"/>
      <c r="D590" s="201"/>
      <c r="E590" s="201"/>
      <c r="F590" s="199"/>
      <c r="K590" s="199"/>
    </row>
    <row r="591" spans="1:11" ht="12.75">
      <c r="A591" s="199"/>
      <c r="B591" s="199"/>
      <c r="C591" s="200"/>
      <c r="D591" s="201"/>
      <c r="E591" s="201"/>
      <c r="F591" s="199"/>
      <c r="K591" s="199"/>
    </row>
    <row r="592" spans="1:11" ht="12.75">
      <c r="A592" s="199"/>
      <c r="B592" s="199"/>
      <c r="C592" s="200"/>
      <c r="D592" s="201"/>
      <c r="E592" s="201"/>
      <c r="F592" s="199"/>
      <c r="K592" s="199"/>
    </row>
    <row r="593" spans="1:11" ht="12.75">
      <c r="A593" s="199"/>
      <c r="B593" s="199"/>
      <c r="C593" s="200"/>
      <c r="D593" s="201"/>
      <c r="E593" s="201"/>
      <c r="F593" s="199"/>
      <c r="K593" s="199"/>
    </row>
    <row r="594" spans="1:11" ht="12.75">
      <c r="A594" s="199"/>
      <c r="B594" s="199"/>
      <c r="C594" s="200"/>
      <c r="D594" s="201"/>
      <c r="E594" s="201"/>
      <c r="F594" s="199"/>
      <c r="K594" s="199"/>
    </row>
    <row r="595" spans="1:11" ht="12.75">
      <c r="A595" s="199"/>
      <c r="B595" s="199"/>
      <c r="C595" s="200"/>
      <c r="D595" s="201"/>
      <c r="E595" s="201"/>
      <c r="F595" s="199"/>
      <c r="K595" s="199"/>
    </row>
    <row r="596" spans="1:11" ht="12.75">
      <c r="A596" s="199"/>
      <c r="B596" s="199"/>
      <c r="C596" s="200"/>
      <c r="D596" s="201"/>
      <c r="E596" s="201"/>
      <c r="F596" s="199"/>
      <c r="K596" s="199"/>
    </row>
    <row r="597" spans="1:11" ht="12.75">
      <c r="A597" s="199"/>
      <c r="B597" s="199"/>
      <c r="C597" s="200"/>
      <c r="D597" s="201"/>
      <c r="E597" s="201"/>
      <c r="F597" s="199"/>
      <c r="K597" s="199"/>
    </row>
    <row r="598" spans="1:11" ht="12.75">
      <c r="A598" s="199"/>
      <c r="B598" s="199"/>
      <c r="C598" s="200"/>
      <c r="D598" s="201"/>
      <c r="E598" s="201"/>
      <c r="F598" s="199"/>
      <c r="K598" s="199"/>
    </row>
    <row r="599" spans="1:11" ht="12.75">
      <c r="A599" s="199"/>
      <c r="B599" s="199"/>
      <c r="C599" s="200"/>
      <c r="D599" s="201"/>
      <c r="E599" s="201"/>
      <c r="F599" s="199"/>
      <c r="K599" s="199"/>
    </row>
    <row r="600" spans="1:11" ht="12.75">
      <c r="A600" s="199"/>
      <c r="B600" s="199"/>
      <c r="C600" s="200"/>
      <c r="D600" s="201"/>
      <c r="E600" s="201"/>
      <c r="F600" s="199"/>
      <c r="K600" s="199"/>
    </row>
    <row r="601" spans="1:11" ht="12.75">
      <c r="A601" s="199"/>
      <c r="B601" s="199"/>
      <c r="C601" s="200"/>
      <c r="D601" s="201"/>
      <c r="E601" s="201"/>
      <c r="F601" s="199"/>
      <c r="K601" s="199"/>
    </row>
    <row r="602" spans="1:11" ht="12.75">
      <c r="A602" s="199"/>
      <c r="B602" s="199"/>
      <c r="C602" s="200"/>
      <c r="D602" s="201"/>
      <c r="E602" s="201"/>
      <c r="F602" s="199"/>
      <c r="K602" s="199"/>
    </row>
    <row r="603" spans="1:11" ht="12.75">
      <c r="A603" s="199"/>
      <c r="B603" s="199"/>
      <c r="C603" s="200"/>
      <c r="D603" s="201"/>
      <c r="E603" s="201"/>
      <c r="F603" s="199"/>
      <c r="K603" s="199"/>
    </row>
    <row r="604" spans="1:11" ht="12.75">
      <c r="A604" s="199"/>
      <c r="B604" s="199"/>
      <c r="C604" s="200"/>
      <c r="D604" s="201"/>
      <c r="E604" s="201"/>
      <c r="F604" s="199"/>
      <c r="K604" s="199"/>
    </row>
    <row r="605" spans="1:11" ht="12.75">
      <c r="A605" s="199"/>
      <c r="B605" s="199"/>
      <c r="C605" s="200"/>
      <c r="D605" s="201"/>
      <c r="E605" s="201"/>
      <c r="F605" s="199"/>
      <c r="K605" s="199"/>
    </row>
    <row r="606" spans="1:11" ht="12.75">
      <c r="A606" s="199"/>
      <c r="B606" s="199"/>
      <c r="C606" s="200"/>
      <c r="D606" s="201"/>
      <c r="E606" s="201"/>
      <c r="F606" s="199"/>
      <c r="K606" s="199"/>
    </row>
    <row r="607" spans="1:11" ht="12.75">
      <c r="A607" s="199"/>
      <c r="B607" s="199"/>
      <c r="C607" s="200"/>
      <c r="D607" s="201"/>
      <c r="E607" s="201"/>
      <c r="F607" s="199"/>
      <c r="K607" s="199"/>
    </row>
    <row r="608" spans="1:11" ht="12.75">
      <c r="A608" s="199"/>
      <c r="B608" s="199"/>
      <c r="C608" s="200"/>
      <c r="D608" s="201"/>
      <c r="E608" s="201"/>
      <c r="F608" s="199"/>
      <c r="K608" s="199"/>
    </row>
    <row r="609" spans="1:11" ht="12.75">
      <c r="A609" s="199"/>
      <c r="B609" s="199"/>
      <c r="C609" s="200"/>
      <c r="D609" s="201"/>
      <c r="E609" s="201"/>
      <c r="F609" s="199"/>
      <c r="K609" s="199"/>
    </row>
    <row r="610" spans="1:11" ht="12.75">
      <c r="A610" s="199"/>
      <c r="B610" s="199"/>
      <c r="C610" s="200"/>
      <c r="D610" s="201"/>
      <c r="E610" s="201"/>
      <c r="F610" s="199"/>
      <c r="K610" s="199"/>
    </row>
    <row r="611" spans="1:11" ht="12.75">
      <c r="A611" s="199"/>
      <c r="B611" s="199"/>
      <c r="C611" s="200"/>
      <c r="D611" s="201"/>
      <c r="E611" s="201"/>
      <c r="F611" s="199"/>
      <c r="K611" s="199"/>
    </row>
    <row r="612" spans="1:11" ht="12.75">
      <c r="A612" s="199"/>
      <c r="B612" s="199"/>
      <c r="C612" s="200"/>
      <c r="D612" s="201"/>
      <c r="E612" s="201"/>
      <c r="F612" s="199"/>
      <c r="K612" s="199"/>
    </row>
    <row r="613" spans="1:11" ht="12.75">
      <c r="A613" s="199"/>
      <c r="B613" s="199"/>
      <c r="C613" s="200"/>
      <c r="D613" s="201"/>
      <c r="E613" s="201"/>
      <c r="F613" s="199"/>
      <c r="K613" s="199"/>
    </row>
    <row r="614" spans="1:11" ht="12.75">
      <c r="A614" s="199"/>
      <c r="B614" s="199"/>
      <c r="C614" s="200"/>
      <c r="D614" s="201"/>
      <c r="E614" s="201"/>
      <c r="F614" s="199"/>
      <c r="K614" s="199"/>
    </row>
    <row r="615" spans="1:11" ht="12.75">
      <c r="A615" s="199"/>
      <c r="B615" s="199"/>
      <c r="C615" s="200"/>
      <c r="D615" s="201"/>
      <c r="E615" s="201"/>
      <c r="F615" s="199"/>
      <c r="K615" s="199"/>
    </row>
    <row r="616" spans="1:11" ht="12.75">
      <c r="A616" s="199"/>
      <c r="B616" s="199"/>
      <c r="C616" s="200"/>
      <c r="D616" s="201"/>
      <c r="E616" s="201"/>
      <c r="F616" s="199"/>
      <c r="K616" s="199"/>
    </row>
    <row r="617" spans="1:11" ht="12.75">
      <c r="A617" s="199"/>
      <c r="B617" s="199"/>
      <c r="C617" s="200"/>
      <c r="D617" s="201"/>
      <c r="E617" s="201"/>
      <c r="F617" s="199"/>
      <c r="K617" s="199"/>
    </row>
    <row r="618" spans="1:11" ht="12.75">
      <c r="A618" s="199"/>
      <c r="B618" s="199"/>
      <c r="C618" s="200"/>
      <c r="D618" s="201"/>
      <c r="E618" s="201"/>
      <c r="F618" s="199"/>
      <c r="K618" s="199"/>
    </row>
    <row r="619" spans="1:11" ht="12.75">
      <c r="A619" s="199"/>
      <c r="B619" s="199"/>
      <c r="C619" s="200"/>
      <c r="D619" s="201"/>
      <c r="E619" s="201"/>
      <c r="F619" s="199"/>
      <c r="K619" s="199"/>
    </row>
    <row r="620" spans="1:11" ht="12.75">
      <c r="A620" s="199"/>
      <c r="B620" s="199"/>
      <c r="C620" s="200"/>
      <c r="D620" s="201"/>
      <c r="E620" s="201"/>
      <c r="F620" s="199"/>
      <c r="K620" s="199"/>
    </row>
    <row r="621" spans="1:11" ht="12.75">
      <c r="A621" s="199"/>
      <c r="B621" s="199"/>
      <c r="C621" s="200"/>
      <c r="D621" s="201"/>
      <c r="E621" s="201"/>
      <c r="F621" s="199"/>
      <c r="K621" s="199"/>
    </row>
    <row r="622" spans="1:11" ht="12.75">
      <c r="A622" s="199"/>
      <c r="B622" s="199"/>
      <c r="C622" s="200"/>
      <c r="D622" s="201"/>
      <c r="E622" s="201"/>
      <c r="F622" s="199"/>
      <c r="K622" s="199"/>
    </row>
    <row r="623" spans="1:11" ht="12.75">
      <c r="A623" s="199"/>
      <c r="B623" s="199"/>
      <c r="C623" s="200"/>
      <c r="D623" s="201"/>
      <c r="E623" s="201"/>
      <c r="F623" s="199"/>
      <c r="K623" s="199"/>
    </row>
    <row r="624" spans="1:11" ht="12.75">
      <c r="A624" s="199"/>
      <c r="B624" s="199"/>
      <c r="C624" s="200"/>
      <c r="D624" s="201"/>
      <c r="E624" s="201"/>
      <c r="F624" s="199"/>
      <c r="K624" s="199"/>
    </row>
    <row r="625" spans="1:11" ht="12.75">
      <c r="A625" s="199"/>
      <c r="B625" s="199"/>
      <c r="C625" s="200"/>
      <c r="D625" s="201"/>
      <c r="E625" s="201"/>
      <c r="F625" s="199"/>
      <c r="K625" s="199"/>
    </row>
    <row r="626" spans="1:11" ht="12.75">
      <c r="A626" s="199"/>
      <c r="B626" s="199"/>
      <c r="C626" s="200"/>
      <c r="D626" s="201"/>
      <c r="E626" s="201"/>
      <c r="F626" s="199"/>
      <c r="K626" s="199"/>
    </row>
    <row r="627" spans="1:11" ht="12.75">
      <c r="A627" s="199"/>
      <c r="B627" s="199"/>
      <c r="C627" s="200"/>
      <c r="D627" s="201"/>
      <c r="E627" s="201"/>
      <c r="F627" s="199"/>
      <c r="K627" s="199"/>
    </row>
    <row r="628" spans="1:11" ht="12.75">
      <c r="A628" s="199"/>
      <c r="B628" s="199"/>
      <c r="C628" s="200"/>
      <c r="D628" s="201"/>
      <c r="E628" s="201"/>
      <c r="F628" s="199"/>
      <c r="K628" s="199"/>
    </row>
    <row r="629" spans="1:11" ht="12.75">
      <c r="A629" s="199"/>
      <c r="B629" s="199"/>
      <c r="C629" s="200"/>
      <c r="D629" s="201"/>
      <c r="E629" s="201"/>
      <c r="F629" s="199"/>
      <c r="K629" s="199"/>
    </row>
    <row r="630" spans="1:11" ht="12.75">
      <c r="A630" s="199"/>
      <c r="B630" s="199"/>
      <c r="C630" s="200"/>
      <c r="D630" s="201"/>
      <c r="E630" s="201"/>
      <c r="F630" s="199"/>
      <c r="K630" s="199"/>
    </row>
    <row r="631" spans="1:11" ht="12.75">
      <c r="A631" s="199"/>
      <c r="B631" s="199"/>
      <c r="C631" s="200"/>
      <c r="D631" s="201"/>
      <c r="E631" s="201"/>
      <c r="F631" s="199"/>
      <c r="K631" s="199"/>
    </row>
    <row r="632" spans="1:11" ht="12.75">
      <c r="A632" s="199"/>
      <c r="B632" s="199"/>
      <c r="C632" s="200"/>
      <c r="D632" s="201"/>
      <c r="E632" s="201"/>
      <c r="F632" s="199"/>
      <c r="K632" s="199"/>
    </row>
    <row r="633" spans="1:11" ht="12.75">
      <c r="A633" s="199"/>
      <c r="B633" s="199"/>
      <c r="C633" s="200"/>
      <c r="D633" s="201"/>
      <c r="E633" s="201"/>
      <c r="F633" s="199"/>
      <c r="K633" s="199"/>
    </row>
    <row r="634" spans="1:11" ht="12.75">
      <c r="A634" s="199"/>
      <c r="B634" s="199"/>
      <c r="C634" s="200"/>
      <c r="D634" s="201"/>
      <c r="E634" s="201"/>
      <c r="F634" s="199"/>
      <c r="K634" s="199"/>
    </row>
    <row r="635" spans="1:11" ht="12.75">
      <c r="A635" s="199"/>
      <c r="B635" s="199"/>
      <c r="C635" s="200"/>
      <c r="D635" s="201"/>
      <c r="E635" s="201"/>
      <c r="F635" s="199"/>
      <c r="K635" s="199"/>
    </row>
    <row r="636" spans="1:11" ht="12.75">
      <c r="A636" s="199"/>
      <c r="B636" s="199"/>
      <c r="C636" s="200"/>
      <c r="D636" s="201"/>
      <c r="E636" s="201"/>
      <c r="F636" s="199"/>
      <c r="K636" s="199"/>
    </row>
    <row r="637" spans="1:11" ht="12.75">
      <c r="A637" s="199"/>
      <c r="B637" s="199"/>
      <c r="C637" s="200"/>
      <c r="D637" s="201"/>
      <c r="E637" s="201"/>
      <c r="F637" s="199"/>
      <c r="K637" s="199"/>
    </row>
    <row r="638" spans="1:11" ht="12.75">
      <c r="A638" s="199"/>
      <c r="B638" s="199"/>
      <c r="C638" s="200"/>
      <c r="D638" s="201"/>
      <c r="E638" s="201"/>
      <c r="F638" s="199"/>
      <c r="K638" s="199"/>
    </row>
    <row r="639" spans="1:11" ht="12.75">
      <c r="A639" s="199"/>
      <c r="B639" s="199"/>
      <c r="C639" s="200"/>
      <c r="D639" s="201"/>
      <c r="E639" s="201"/>
      <c r="F639" s="199"/>
      <c r="K639" s="199"/>
    </row>
    <row r="640" spans="1:11" ht="12.75">
      <c r="A640" s="199"/>
      <c r="B640" s="199"/>
      <c r="C640" s="200"/>
      <c r="D640" s="201"/>
      <c r="E640" s="201"/>
      <c r="F640" s="199"/>
      <c r="K640" s="199"/>
    </row>
    <row r="641" spans="1:11" ht="12.75">
      <c r="A641" s="199"/>
      <c r="B641" s="199"/>
      <c r="C641" s="200"/>
      <c r="D641" s="201"/>
      <c r="E641" s="201"/>
      <c r="F641" s="199"/>
      <c r="K641" s="199"/>
    </row>
    <row r="642" spans="1:11" ht="12.75">
      <c r="A642" s="199"/>
      <c r="B642" s="199"/>
      <c r="C642" s="200"/>
      <c r="D642" s="201"/>
      <c r="E642" s="201"/>
      <c r="F642" s="199"/>
      <c r="K642" s="199"/>
    </row>
    <row r="643" spans="1:11" ht="12.75">
      <c r="A643" s="199"/>
      <c r="B643" s="199"/>
      <c r="C643" s="200"/>
      <c r="D643" s="201"/>
      <c r="E643" s="201"/>
      <c r="F643" s="199"/>
      <c r="K643" s="199"/>
    </row>
    <row r="644" spans="1:11" ht="12.75">
      <c r="A644" s="199"/>
      <c r="B644" s="199"/>
      <c r="C644" s="200"/>
      <c r="D644" s="201"/>
      <c r="E644" s="201"/>
      <c r="F644" s="199"/>
      <c r="K644" s="199"/>
    </row>
    <row r="645" spans="1:11" ht="12.75">
      <c r="A645" s="199"/>
      <c r="B645" s="199"/>
      <c r="C645" s="200"/>
      <c r="D645" s="201"/>
      <c r="E645" s="201"/>
      <c r="F645" s="199"/>
      <c r="K645" s="199"/>
    </row>
    <row r="646" spans="1:11" ht="12.75">
      <c r="A646" s="199"/>
      <c r="B646" s="199"/>
      <c r="C646" s="200"/>
      <c r="D646" s="201"/>
      <c r="E646" s="201"/>
      <c r="F646" s="199"/>
      <c r="K646" s="199"/>
    </row>
    <row r="647" spans="1:11" ht="12.75">
      <c r="A647" s="199"/>
      <c r="B647" s="199"/>
      <c r="C647" s="200"/>
      <c r="D647" s="201"/>
      <c r="E647" s="201"/>
      <c r="F647" s="199"/>
      <c r="K647" s="199"/>
    </row>
    <row r="648" spans="1:11" ht="12.75">
      <c r="A648" s="199"/>
      <c r="B648" s="199"/>
      <c r="C648" s="200"/>
      <c r="D648" s="201"/>
      <c r="E648" s="201"/>
      <c r="F648" s="199"/>
      <c r="K648" s="199"/>
    </row>
    <row r="649" spans="1:11" ht="12.75">
      <c r="A649" s="199"/>
      <c r="B649" s="199"/>
      <c r="C649" s="200"/>
      <c r="D649" s="201"/>
      <c r="E649" s="201"/>
      <c r="F649" s="199"/>
      <c r="K649" s="199"/>
    </row>
    <row r="650" spans="1:11" ht="12.75">
      <c r="A650" s="199"/>
      <c r="B650" s="199"/>
      <c r="C650" s="200"/>
      <c r="D650" s="201"/>
      <c r="E650" s="201"/>
      <c r="F650" s="199"/>
      <c r="K650" s="199"/>
    </row>
    <row r="651" spans="1:11" ht="12.75">
      <c r="A651" s="199"/>
      <c r="B651" s="199"/>
      <c r="C651" s="200"/>
      <c r="D651" s="201"/>
      <c r="E651" s="201"/>
      <c r="F651" s="199"/>
      <c r="K651" s="199"/>
    </row>
    <row r="652" spans="1:11" ht="12.75">
      <c r="A652" s="199"/>
      <c r="B652" s="199"/>
      <c r="C652" s="200"/>
      <c r="D652" s="201"/>
      <c r="E652" s="201"/>
      <c r="F652" s="199"/>
      <c r="K652" s="199"/>
    </row>
    <row r="653" spans="1:11" ht="12.75">
      <c r="A653" s="199"/>
      <c r="B653" s="199"/>
      <c r="C653" s="200"/>
      <c r="D653" s="201"/>
      <c r="E653" s="201"/>
      <c r="F653" s="199"/>
      <c r="K653" s="199"/>
    </row>
    <row r="654" spans="1:11" ht="12.75">
      <c r="A654" s="199"/>
      <c r="B654" s="199"/>
      <c r="C654" s="200"/>
      <c r="D654" s="201"/>
      <c r="E654" s="201"/>
      <c r="F654" s="199"/>
      <c r="K654" s="199"/>
    </row>
    <row r="655" spans="1:11" ht="12.75">
      <c r="A655" s="199"/>
      <c r="B655" s="199"/>
      <c r="C655" s="200"/>
      <c r="D655" s="201"/>
      <c r="E655" s="201"/>
      <c r="F655" s="199"/>
      <c r="K655" s="199"/>
    </row>
    <row r="656" spans="1:11" ht="12.75">
      <c r="A656" s="199"/>
      <c r="B656" s="199"/>
      <c r="C656" s="200"/>
      <c r="D656" s="201"/>
      <c r="E656" s="201"/>
      <c r="F656" s="199"/>
      <c r="K656" s="199"/>
    </row>
    <row r="657" spans="1:11" ht="12.75">
      <c r="A657" s="199"/>
      <c r="B657" s="199"/>
      <c r="C657" s="200"/>
      <c r="D657" s="201"/>
      <c r="E657" s="201"/>
      <c r="F657" s="199"/>
      <c r="K657" s="199"/>
    </row>
    <row r="658" spans="1:11" ht="12.75">
      <c r="A658" s="199"/>
      <c r="B658" s="199"/>
      <c r="C658" s="200"/>
      <c r="D658" s="201"/>
      <c r="E658" s="201"/>
      <c r="F658" s="199"/>
      <c r="K658" s="199"/>
    </row>
    <row r="659" spans="1:11" ht="12.75">
      <c r="A659" s="199"/>
      <c r="B659" s="199"/>
      <c r="C659" s="200"/>
      <c r="D659" s="201"/>
      <c r="E659" s="201"/>
      <c r="F659" s="199"/>
      <c r="K659" s="199"/>
    </row>
    <row r="660" spans="1:11" ht="12.75">
      <c r="A660" s="199"/>
      <c r="B660" s="199"/>
      <c r="C660" s="200"/>
      <c r="D660" s="201"/>
      <c r="E660" s="201"/>
      <c r="F660" s="199"/>
      <c r="K660" s="199"/>
    </row>
    <row r="661" spans="1:11" ht="12.75">
      <c r="A661" s="199"/>
      <c r="B661" s="199"/>
      <c r="C661" s="200"/>
      <c r="D661" s="201"/>
      <c r="E661" s="201"/>
      <c r="F661" s="199"/>
      <c r="K661" s="199"/>
    </row>
    <row r="662" spans="1:11" ht="12.75">
      <c r="A662" s="199"/>
      <c r="B662" s="199"/>
      <c r="C662" s="200"/>
      <c r="D662" s="201"/>
      <c r="E662" s="201"/>
      <c r="F662" s="199"/>
      <c r="K662" s="199"/>
    </row>
    <row r="663" spans="1:11" ht="12.75">
      <c r="A663" s="199"/>
      <c r="B663" s="199"/>
      <c r="C663" s="200"/>
      <c r="D663" s="201"/>
      <c r="E663" s="201"/>
      <c r="F663" s="199"/>
      <c r="K663" s="199"/>
    </row>
    <row r="664" spans="1:11" ht="12.75">
      <c r="A664" s="199"/>
      <c r="B664" s="199"/>
      <c r="C664" s="200"/>
      <c r="D664" s="201"/>
      <c r="E664" s="201"/>
      <c r="F664" s="199"/>
      <c r="K664" s="199"/>
    </row>
    <row r="665" spans="1:11" ht="12.75">
      <c r="A665" s="199"/>
      <c r="B665" s="199"/>
      <c r="C665" s="200"/>
      <c r="D665" s="201"/>
      <c r="E665" s="201"/>
      <c r="F665" s="199"/>
      <c r="K665" s="199"/>
    </row>
    <row r="666" spans="1:11" ht="12.75">
      <c r="A666" s="199"/>
      <c r="B666" s="199"/>
      <c r="C666" s="200"/>
      <c r="D666" s="201"/>
      <c r="E666" s="201"/>
      <c r="F666" s="199"/>
      <c r="K666" s="199"/>
    </row>
    <row r="667" spans="1:11" ht="12.75">
      <c r="A667" s="199"/>
      <c r="B667" s="199"/>
      <c r="C667" s="200"/>
      <c r="D667" s="201"/>
      <c r="E667" s="201"/>
      <c r="F667" s="199"/>
      <c r="K667" s="199"/>
    </row>
    <row r="668" spans="1:11" ht="12.75">
      <c r="A668" s="199"/>
      <c r="B668" s="199"/>
      <c r="C668" s="200"/>
      <c r="D668" s="201"/>
      <c r="E668" s="201"/>
      <c r="F668" s="199"/>
      <c r="K668" s="199"/>
    </row>
    <row r="669" spans="1:11" ht="12.75">
      <c r="A669" s="199"/>
      <c r="B669" s="199"/>
      <c r="C669" s="200"/>
      <c r="D669" s="201"/>
      <c r="E669" s="201"/>
      <c r="F669" s="199"/>
      <c r="K669" s="199"/>
    </row>
    <row r="670" spans="1:11" ht="12.75">
      <c r="A670" s="199"/>
      <c r="B670" s="199"/>
      <c r="C670" s="200"/>
      <c r="D670" s="201"/>
      <c r="E670" s="201"/>
      <c r="F670" s="199"/>
      <c r="K670" s="199"/>
    </row>
    <row r="671" spans="1:11" ht="12.75">
      <c r="A671" s="199"/>
      <c r="B671" s="199"/>
      <c r="C671" s="200"/>
      <c r="D671" s="201"/>
      <c r="E671" s="201"/>
      <c r="F671" s="199"/>
      <c r="K671" s="199"/>
    </row>
    <row r="672" spans="1:11" ht="12.75">
      <c r="A672" s="199"/>
      <c r="B672" s="199"/>
      <c r="C672" s="200"/>
      <c r="D672" s="201"/>
      <c r="E672" s="201"/>
      <c r="F672" s="199"/>
      <c r="K672" s="199"/>
    </row>
    <row r="673" spans="1:11" ht="12.75">
      <c r="A673" s="199"/>
      <c r="B673" s="199"/>
      <c r="C673" s="200"/>
      <c r="D673" s="201"/>
      <c r="E673" s="201"/>
      <c r="F673" s="199"/>
      <c r="K673" s="199"/>
    </row>
    <row r="674" spans="1:11" ht="12.75">
      <c r="A674" s="199"/>
      <c r="B674" s="199"/>
      <c r="C674" s="200"/>
      <c r="D674" s="201"/>
      <c r="E674" s="201"/>
      <c r="F674" s="199"/>
      <c r="K674" s="199"/>
    </row>
    <row r="675" spans="1:11" ht="12.75">
      <c r="A675" s="199"/>
      <c r="B675" s="199"/>
      <c r="C675" s="200"/>
      <c r="D675" s="201"/>
      <c r="E675" s="201"/>
      <c r="F675" s="199"/>
      <c r="K675" s="199"/>
    </row>
    <row r="676" spans="1:11" ht="12.75">
      <c r="A676" s="199"/>
      <c r="B676" s="199"/>
      <c r="C676" s="200"/>
      <c r="D676" s="201"/>
      <c r="E676" s="201"/>
      <c r="F676" s="199"/>
      <c r="K676" s="199"/>
    </row>
    <row r="677" spans="1:11" ht="12.75">
      <c r="A677" s="199"/>
      <c r="B677" s="199"/>
      <c r="C677" s="200"/>
      <c r="D677" s="201"/>
      <c r="E677" s="201"/>
      <c r="F677" s="199"/>
      <c r="K677" s="199"/>
    </row>
    <row r="678" spans="1:11" ht="12.75">
      <c r="A678" s="199"/>
      <c r="B678" s="199"/>
      <c r="C678" s="200"/>
      <c r="D678" s="201"/>
      <c r="E678" s="201"/>
      <c r="F678" s="199"/>
      <c r="K678" s="199"/>
    </row>
    <row r="679" spans="1:11" ht="12.75">
      <c r="A679" s="199"/>
      <c r="B679" s="199"/>
      <c r="C679" s="200"/>
      <c r="D679" s="201"/>
      <c r="E679" s="201"/>
      <c r="F679" s="199"/>
      <c r="K679" s="199"/>
    </row>
    <row r="680" spans="1:11" ht="12.75">
      <c r="A680" s="199"/>
      <c r="B680" s="199"/>
      <c r="C680" s="200"/>
      <c r="D680" s="201"/>
      <c r="E680" s="201"/>
      <c r="F680" s="199"/>
      <c r="K680" s="199"/>
    </row>
    <row r="681" spans="1:11" ht="12.75">
      <c r="A681" s="199"/>
      <c r="B681" s="199"/>
      <c r="C681" s="200"/>
      <c r="D681" s="201"/>
      <c r="E681" s="201"/>
      <c r="F681" s="199"/>
      <c r="K681" s="199"/>
    </row>
    <row r="682" spans="1:11" ht="12.75">
      <c r="A682" s="199"/>
      <c r="B682" s="199"/>
      <c r="C682" s="200"/>
      <c r="D682" s="201"/>
      <c r="E682" s="201"/>
      <c r="F682" s="199"/>
      <c r="K682" s="199"/>
    </row>
    <row r="683" spans="1:11" ht="12.75">
      <c r="A683" s="199"/>
      <c r="B683" s="199"/>
      <c r="C683" s="200"/>
      <c r="D683" s="201"/>
      <c r="E683" s="201"/>
      <c r="F683" s="199"/>
      <c r="K683" s="199"/>
    </row>
    <row r="684" spans="1:11" ht="12.75">
      <c r="A684" s="199"/>
      <c r="B684" s="199"/>
      <c r="C684" s="200"/>
      <c r="D684" s="201"/>
      <c r="E684" s="201"/>
      <c r="F684" s="199"/>
      <c r="K684" s="199"/>
    </row>
    <row r="685" spans="1:11" ht="12.75">
      <c r="A685" s="199"/>
      <c r="B685" s="199"/>
      <c r="C685" s="200"/>
      <c r="D685" s="201"/>
      <c r="E685" s="201"/>
      <c r="F685" s="199"/>
      <c r="K685" s="199"/>
    </row>
    <row r="686" spans="1:11" ht="12.75">
      <c r="A686" s="199"/>
      <c r="B686" s="199"/>
      <c r="C686" s="200"/>
      <c r="D686" s="201"/>
      <c r="E686" s="201"/>
      <c r="F686" s="199"/>
      <c r="K686" s="199"/>
    </row>
    <row r="687" spans="1:11" ht="12.75">
      <c r="A687" s="199"/>
      <c r="B687" s="199"/>
      <c r="C687" s="200"/>
      <c r="D687" s="201"/>
      <c r="E687" s="201"/>
      <c r="F687" s="199"/>
      <c r="K687" s="199"/>
    </row>
    <row r="688" spans="1:11" ht="12.75">
      <c r="A688" s="199"/>
      <c r="B688" s="199"/>
      <c r="C688" s="200"/>
      <c r="D688" s="201"/>
      <c r="E688" s="201"/>
      <c r="F688" s="199"/>
      <c r="K688" s="199"/>
    </row>
    <row r="689" spans="1:11" ht="12.75">
      <c r="A689" s="199"/>
      <c r="B689" s="199"/>
      <c r="C689" s="200"/>
      <c r="D689" s="201"/>
      <c r="E689" s="201"/>
      <c r="F689" s="199"/>
      <c r="K689" s="199"/>
    </row>
    <row r="690" spans="1:11" ht="12.75">
      <c r="A690" s="199"/>
      <c r="B690" s="199"/>
      <c r="C690" s="200"/>
      <c r="D690" s="201"/>
      <c r="E690" s="201"/>
      <c r="F690" s="199"/>
      <c r="K690" s="199"/>
    </row>
    <row r="691" spans="1:11" ht="12.75">
      <c r="A691" s="199"/>
      <c r="B691" s="199"/>
      <c r="C691" s="200"/>
      <c r="D691" s="201"/>
      <c r="E691" s="201"/>
      <c r="F691" s="199"/>
      <c r="K691" s="199"/>
    </row>
    <row r="692" spans="1:11" ht="12.75">
      <c r="A692" s="199"/>
      <c r="B692" s="199"/>
      <c r="C692" s="200"/>
      <c r="D692" s="201"/>
      <c r="E692" s="201"/>
      <c r="F692" s="199"/>
      <c r="K692" s="199"/>
    </row>
    <row r="693" spans="1:11" ht="12.75">
      <c r="A693" s="199"/>
      <c r="B693" s="199"/>
      <c r="C693" s="200"/>
      <c r="D693" s="201"/>
      <c r="E693" s="201"/>
      <c r="F693" s="199"/>
      <c r="K693" s="199"/>
    </row>
    <row r="694" spans="1:11" ht="12.75">
      <c r="A694" s="199"/>
      <c r="B694" s="199"/>
      <c r="C694" s="200"/>
      <c r="D694" s="201"/>
      <c r="E694" s="201"/>
      <c r="F694" s="199"/>
      <c r="K694" s="199"/>
    </row>
    <row r="695" spans="1:11" ht="12.75">
      <c r="A695" s="199"/>
      <c r="B695" s="199"/>
      <c r="C695" s="200"/>
      <c r="D695" s="201"/>
      <c r="E695" s="201"/>
      <c r="F695" s="199"/>
      <c r="K695" s="199"/>
    </row>
    <row r="696" spans="1:11" ht="12.75">
      <c r="A696" s="199"/>
      <c r="B696" s="199"/>
      <c r="C696" s="200"/>
      <c r="D696" s="201"/>
      <c r="E696" s="201"/>
      <c r="F696" s="199"/>
      <c r="K696" s="199"/>
    </row>
    <row r="697" spans="1:11" ht="12.75">
      <c r="A697" s="199"/>
      <c r="B697" s="199"/>
      <c r="C697" s="200"/>
      <c r="D697" s="201"/>
      <c r="E697" s="201"/>
      <c r="F697" s="199"/>
      <c r="K697" s="199"/>
    </row>
    <row r="698" spans="1:11" ht="12.75">
      <c r="A698" s="199"/>
      <c r="B698" s="199"/>
      <c r="C698" s="200"/>
      <c r="D698" s="201"/>
      <c r="E698" s="201"/>
      <c r="F698" s="199"/>
      <c r="K698" s="199"/>
    </row>
    <row r="699" spans="1:11" ht="12.75">
      <c r="A699" s="199"/>
      <c r="B699" s="199"/>
      <c r="C699" s="200"/>
      <c r="D699" s="201"/>
      <c r="E699" s="201"/>
      <c r="F699" s="199"/>
      <c r="K699" s="199"/>
    </row>
    <row r="700" spans="1:11" ht="12.75">
      <c r="A700" s="199"/>
      <c r="B700" s="199"/>
      <c r="C700" s="200"/>
      <c r="D700" s="201"/>
      <c r="E700" s="201"/>
      <c r="F700" s="199"/>
      <c r="K700" s="199"/>
    </row>
    <row r="701" spans="1:11" ht="12.75">
      <c r="A701" s="199"/>
      <c r="B701" s="199"/>
      <c r="C701" s="200"/>
      <c r="D701" s="201"/>
      <c r="E701" s="201"/>
      <c r="F701" s="199"/>
      <c r="K701" s="199"/>
    </row>
    <row r="702" spans="1:11" ht="12.75">
      <c r="A702" s="199"/>
      <c r="B702" s="199"/>
      <c r="C702" s="200"/>
      <c r="D702" s="201"/>
      <c r="E702" s="201"/>
      <c r="F702" s="199"/>
      <c r="K702" s="199"/>
    </row>
    <row r="703" spans="1:11" ht="12.75">
      <c r="A703" s="199"/>
      <c r="B703" s="199"/>
      <c r="C703" s="200"/>
      <c r="D703" s="201"/>
      <c r="E703" s="201"/>
      <c r="F703" s="199"/>
      <c r="K703" s="199"/>
    </row>
    <row r="704" spans="1:11" ht="12.75">
      <c r="A704" s="199"/>
      <c r="B704" s="199"/>
      <c r="C704" s="200"/>
      <c r="D704" s="201"/>
      <c r="E704" s="201"/>
      <c r="F704" s="199"/>
      <c r="K704" s="199"/>
    </row>
    <row r="705" spans="1:11" ht="12.75">
      <c r="A705" s="199"/>
      <c r="B705" s="199"/>
      <c r="C705" s="200"/>
      <c r="D705" s="201"/>
      <c r="E705" s="201"/>
      <c r="F705" s="199"/>
      <c r="K705" s="199"/>
    </row>
    <row r="706" spans="1:11" ht="12.75">
      <c r="A706" s="199"/>
      <c r="B706" s="199"/>
      <c r="C706" s="200"/>
      <c r="D706" s="201"/>
      <c r="E706" s="201"/>
      <c r="F706" s="199"/>
      <c r="K706" s="199"/>
    </row>
    <row r="707" spans="1:11" ht="12.75">
      <c r="A707" s="199"/>
      <c r="B707" s="199"/>
      <c r="C707" s="200"/>
      <c r="D707" s="201"/>
      <c r="E707" s="201"/>
      <c r="F707" s="199"/>
      <c r="K707" s="199"/>
    </row>
    <row r="708" spans="1:11" ht="12.75">
      <c r="A708" s="199"/>
      <c r="B708" s="199"/>
      <c r="C708" s="200"/>
      <c r="D708" s="201"/>
      <c r="E708" s="201"/>
      <c r="F708" s="199"/>
      <c r="K708" s="199"/>
    </row>
    <row r="709" spans="1:11" ht="12.75">
      <c r="A709" s="199"/>
      <c r="B709" s="199"/>
      <c r="C709" s="200"/>
      <c r="D709" s="201"/>
      <c r="E709" s="201"/>
      <c r="F709" s="199"/>
      <c r="K709" s="199"/>
    </row>
    <row r="710" spans="1:11" ht="12.75">
      <c r="A710" s="199"/>
      <c r="B710" s="199"/>
      <c r="C710" s="200"/>
      <c r="D710" s="201"/>
      <c r="E710" s="201"/>
      <c r="F710" s="199"/>
      <c r="K710" s="199"/>
    </row>
    <row r="711" spans="1:11" ht="12.75">
      <c r="A711" s="199"/>
      <c r="B711" s="199"/>
      <c r="C711" s="200"/>
      <c r="D711" s="201"/>
      <c r="E711" s="201"/>
      <c r="F711" s="199"/>
      <c r="K711" s="199"/>
    </row>
    <row r="712" spans="1:11" ht="12.75">
      <c r="A712" s="199"/>
      <c r="B712" s="199"/>
      <c r="C712" s="200"/>
      <c r="D712" s="201"/>
      <c r="E712" s="201"/>
      <c r="F712" s="199"/>
      <c r="K712" s="199"/>
    </row>
    <row r="713" spans="1:11" ht="12.75">
      <c r="A713" s="199"/>
      <c r="B713" s="199"/>
      <c r="C713" s="200"/>
      <c r="D713" s="201"/>
      <c r="E713" s="201"/>
      <c r="F713" s="199"/>
      <c r="K713" s="199"/>
    </row>
    <row r="714" spans="1:11" ht="12.75">
      <c r="A714" s="199"/>
      <c r="B714" s="199"/>
      <c r="C714" s="200"/>
      <c r="D714" s="201"/>
      <c r="E714" s="201"/>
      <c r="F714" s="199"/>
      <c r="K714" s="199"/>
    </row>
    <row r="715" spans="1:11" ht="12.75">
      <c r="A715" s="199"/>
      <c r="B715" s="199"/>
      <c r="C715" s="200"/>
      <c r="D715" s="201"/>
      <c r="E715" s="201"/>
      <c r="F715" s="199"/>
      <c r="K715" s="199"/>
    </row>
    <row r="716" spans="1:11" ht="12.75">
      <c r="A716" s="199"/>
      <c r="B716" s="199"/>
      <c r="C716" s="200"/>
      <c r="D716" s="201"/>
      <c r="E716" s="201"/>
      <c r="F716" s="199"/>
      <c r="K716" s="199"/>
    </row>
    <row r="717" spans="1:11" ht="12.75">
      <c r="A717" s="199"/>
      <c r="B717" s="199"/>
      <c r="C717" s="200"/>
      <c r="D717" s="201"/>
      <c r="E717" s="201"/>
      <c r="F717" s="199"/>
      <c r="K717" s="199"/>
    </row>
    <row r="718" spans="1:11" ht="12.75">
      <c r="A718" s="199"/>
      <c r="B718" s="199"/>
      <c r="C718" s="200"/>
      <c r="D718" s="201"/>
      <c r="E718" s="201"/>
      <c r="F718" s="199"/>
      <c r="K718" s="199"/>
    </row>
    <row r="719" spans="1:11" ht="12.75">
      <c r="A719" s="199"/>
      <c r="B719" s="199"/>
      <c r="C719" s="200"/>
      <c r="D719" s="201"/>
      <c r="E719" s="201"/>
      <c r="F719" s="199"/>
      <c r="K719" s="199"/>
    </row>
    <row r="720" spans="1:11" ht="12.75">
      <c r="A720" s="199"/>
      <c r="B720" s="199"/>
      <c r="C720" s="200"/>
      <c r="D720" s="201"/>
      <c r="E720" s="201"/>
      <c r="F720" s="199"/>
      <c r="K720" s="199"/>
    </row>
    <row r="721" spans="1:11" ht="12.75">
      <c r="A721" s="199"/>
      <c r="B721" s="199"/>
      <c r="C721" s="200"/>
      <c r="D721" s="201"/>
      <c r="E721" s="201"/>
      <c r="F721" s="199"/>
      <c r="K721" s="199"/>
    </row>
    <row r="722" spans="1:11" ht="12.75">
      <c r="A722" s="199"/>
      <c r="B722" s="199"/>
      <c r="C722" s="200"/>
      <c r="D722" s="201"/>
      <c r="E722" s="201"/>
      <c r="F722" s="199"/>
      <c r="K722" s="199"/>
    </row>
    <row r="723" spans="1:11" ht="12.75">
      <c r="A723" s="199"/>
      <c r="B723" s="199"/>
      <c r="C723" s="200"/>
      <c r="D723" s="201"/>
      <c r="E723" s="201"/>
      <c r="F723" s="199"/>
      <c r="K723" s="199"/>
    </row>
    <row r="724" spans="1:11" ht="12.75">
      <c r="A724" s="199"/>
      <c r="B724" s="199"/>
      <c r="C724" s="200"/>
      <c r="D724" s="201"/>
      <c r="E724" s="201"/>
      <c r="F724" s="199"/>
      <c r="K724" s="199"/>
    </row>
    <row r="725" spans="1:11" ht="12.75">
      <c r="A725" s="199"/>
      <c r="B725" s="199"/>
      <c r="C725" s="200"/>
      <c r="D725" s="201"/>
      <c r="E725" s="201"/>
      <c r="F725" s="199"/>
      <c r="K725" s="199"/>
    </row>
    <row r="726" spans="1:11" ht="12.75">
      <c r="A726" s="199"/>
      <c r="B726" s="199"/>
      <c r="C726" s="200"/>
      <c r="D726" s="201"/>
      <c r="E726" s="201"/>
      <c r="F726" s="199"/>
      <c r="K726" s="199"/>
    </row>
    <row r="727" spans="1:11" ht="12.75">
      <c r="A727" s="199"/>
      <c r="B727" s="199"/>
      <c r="C727" s="200"/>
      <c r="D727" s="201"/>
      <c r="E727" s="201"/>
      <c r="F727" s="199"/>
      <c r="K727" s="199"/>
    </row>
    <row r="728" spans="1:11" ht="12.75">
      <c r="A728" s="199"/>
      <c r="B728" s="199"/>
      <c r="C728" s="200"/>
      <c r="D728" s="201"/>
      <c r="E728" s="201"/>
      <c r="F728" s="199"/>
      <c r="K728" s="199"/>
    </row>
    <row r="729" spans="1:11" ht="12.75">
      <c r="A729" s="199"/>
      <c r="B729" s="199"/>
      <c r="C729" s="200"/>
      <c r="D729" s="201"/>
      <c r="E729" s="201"/>
      <c r="F729" s="199"/>
      <c r="K729" s="199"/>
    </row>
    <row r="730" spans="1:11" ht="12.75">
      <c r="A730" s="199"/>
      <c r="B730" s="199"/>
      <c r="C730" s="200"/>
      <c r="D730" s="201"/>
      <c r="E730" s="201"/>
      <c r="F730" s="199"/>
      <c r="K730" s="199"/>
    </row>
    <row r="731" spans="1:11" ht="12.75">
      <c r="A731" s="199"/>
      <c r="B731" s="199"/>
      <c r="C731" s="200"/>
      <c r="D731" s="201"/>
      <c r="E731" s="201"/>
      <c r="F731" s="199"/>
      <c r="K731" s="199"/>
    </row>
    <row r="732" spans="1:11" ht="12.75">
      <c r="A732" s="199"/>
      <c r="B732" s="199"/>
      <c r="C732" s="200"/>
      <c r="D732" s="201"/>
      <c r="E732" s="201"/>
      <c r="F732" s="199"/>
      <c r="K732" s="199"/>
    </row>
    <row r="733" spans="1:11" ht="12.75">
      <c r="A733" s="199"/>
      <c r="B733" s="199"/>
      <c r="C733" s="200"/>
      <c r="D733" s="201"/>
      <c r="E733" s="201"/>
      <c r="F733" s="199"/>
      <c r="K733" s="199"/>
    </row>
    <row r="734" spans="1:11" ht="12.75">
      <c r="A734" s="199"/>
      <c r="B734" s="199"/>
      <c r="C734" s="200"/>
      <c r="D734" s="201"/>
      <c r="E734" s="201"/>
      <c r="F734" s="199"/>
      <c r="K734" s="199"/>
    </row>
    <row r="735" spans="1:11" ht="12.75">
      <c r="A735" s="199"/>
      <c r="B735" s="199"/>
      <c r="C735" s="200"/>
      <c r="D735" s="201"/>
      <c r="E735" s="201"/>
      <c r="F735" s="199"/>
      <c r="K735" s="199"/>
    </row>
    <row r="736" spans="1:11" ht="12.75">
      <c r="A736" s="199"/>
      <c r="B736" s="199"/>
      <c r="C736" s="200"/>
      <c r="D736" s="201"/>
      <c r="E736" s="201"/>
      <c r="F736" s="199"/>
      <c r="K736" s="199"/>
    </row>
    <row r="737" spans="1:11" ht="12.75">
      <c r="A737" s="199"/>
      <c r="B737" s="199"/>
      <c r="C737" s="200"/>
      <c r="D737" s="201"/>
      <c r="E737" s="201"/>
      <c r="F737" s="199"/>
      <c r="K737" s="199"/>
    </row>
    <row r="738" spans="1:11" ht="12.75">
      <c r="A738" s="199"/>
      <c r="B738" s="199"/>
      <c r="C738" s="200"/>
      <c r="D738" s="201"/>
      <c r="E738" s="201"/>
      <c r="F738" s="199"/>
      <c r="K738" s="199"/>
    </row>
    <row r="739" spans="1:11" ht="12.75">
      <c r="A739" s="199"/>
      <c r="B739" s="199"/>
      <c r="C739" s="200"/>
      <c r="D739" s="201"/>
      <c r="E739" s="201"/>
      <c r="F739" s="199"/>
      <c r="K739" s="199"/>
    </row>
    <row r="740" spans="1:11" ht="12.75">
      <c r="A740" s="199"/>
      <c r="B740" s="199"/>
      <c r="C740" s="200"/>
      <c r="D740" s="201"/>
      <c r="E740" s="201"/>
      <c r="F740" s="199"/>
      <c r="K740" s="199"/>
    </row>
    <row r="741" spans="1:11" ht="12.75">
      <c r="A741" s="199"/>
      <c r="B741" s="199"/>
      <c r="C741" s="200"/>
      <c r="D741" s="201"/>
      <c r="E741" s="201"/>
      <c r="F741" s="199"/>
      <c r="K741" s="199"/>
    </row>
    <row r="742" spans="1:11" ht="12.75">
      <c r="A742" s="199"/>
      <c r="B742" s="199"/>
      <c r="C742" s="200"/>
      <c r="D742" s="201"/>
      <c r="E742" s="201"/>
      <c r="F742" s="199"/>
      <c r="K742" s="199"/>
    </row>
    <row r="743" spans="1:11" ht="12.75">
      <c r="A743" s="199"/>
      <c r="B743" s="199"/>
      <c r="C743" s="200"/>
      <c r="D743" s="201"/>
      <c r="E743" s="201"/>
      <c r="F743" s="199"/>
      <c r="K743" s="199"/>
    </row>
    <row r="744" spans="1:11" ht="12.75">
      <c r="A744" s="199"/>
      <c r="B744" s="199"/>
      <c r="C744" s="200"/>
      <c r="D744" s="201"/>
      <c r="E744" s="201"/>
      <c r="F744" s="199"/>
      <c r="K744" s="199"/>
    </row>
    <row r="745" spans="1:11" ht="12.75">
      <c r="A745" s="199"/>
      <c r="B745" s="199"/>
      <c r="C745" s="200"/>
      <c r="D745" s="201"/>
      <c r="E745" s="201"/>
      <c r="F745" s="199"/>
      <c r="K745" s="199"/>
    </row>
    <row r="746" spans="1:11" ht="12.75">
      <c r="A746" s="199"/>
      <c r="B746" s="199"/>
      <c r="C746" s="200"/>
      <c r="D746" s="201"/>
      <c r="E746" s="201"/>
      <c r="F746" s="199"/>
      <c r="K746" s="199"/>
    </row>
    <row r="747" spans="1:11" ht="12.75">
      <c r="A747" s="199"/>
      <c r="B747" s="199"/>
      <c r="C747" s="200"/>
      <c r="D747" s="201"/>
      <c r="E747" s="201"/>
      <c r="F747" s="199"/>
      <c r="K747" s="199"/>
    </row>
    <row r="748" spans="1:11" ht="12.75">
      <c r="A748" s="199"/>
      <c r="B748" s="199"/>
      <c r="C748" s="200"/>
      <c r="D748" s="201"/>
      <c r="E748" s="201"/>
      <c r="F748" s="199"/>
      <c r="K748" s="199"/>
    </row>
    <row r="749" spans="1:11" ht="12.75">
      <c r="A749" s="199"/>
      <c r="B749" s="199"/>
      <c r="C749" s="200"/>
      <c r="D749" s="201"/>
      <c r="E749" s="201"/>
      <c r="F749" s="199"/>
      <c r="K749" s="199"/>
    </row>
    <row r="750" spans="1:11" ht="12.75">
      <c r="A750" s="199"/>
      <c r="B750" s="199"/>
      <c r="C750" s="200"/>
      <c r="D750" s="201"/>
      <c r="E750" s="201"/>
      <c r="F750" s="199"/>
      <c r="K750" s="199"/>
    </row>
    <row r="751" spans="1:11" ht="12.75">
      <c r="A751" s="199"/>
      <c r="B751" s="199"/>
      <c r="C751" s="200"/>
      <c r="D751" s="201"/>
      <c r="E751" s="201"/>
      <c r="F751" s="199"/>
      <c r="K751" s="199"/>
    </row>
    <row r="752" spans="1:11" ht="12.75">
      <c r="A752" s="199"/>
      <c r="B752" s="199"/>
      <c r="C752" s="200"/>
      <c r="D752" s="201"/>
      <c r="E752" s="201"/>
      <c r="F752" s="199"/>
      <c r="K752" s="199"/>
    </row>
    <row r="753" spans="1:11" ht="12.75">
      <c r="A753" s="199"/>
      <c r="B753" s="199"/>
      <c r="C753" s="200"/>
      <c r="D753" s="201"/>
      <c r="E753" s="201"/>
      <c r="F753" s="199"/>
      <c r="K753" s="199"/>
    </row>
    <row r="754" spans="1:11" ht="12.75">
      <c r="A754" s="199"/>
      <c r="B754" s="199"/>
      <c r="C754" s="200"/>
      <c r="D754" s="201"/>
      <c r="E754" s="201"/>
      <c r="F754" s="199"/>
      <c r="K754" s="199"/>
    </row>
    <row r="755" spans="1:11" ht="12.75">
      <c r="A755" s="199"/>
      <c r="B755" s="199"/>
      <c r="C755" s="200"/>
      <c r="D755" s="201"/>
      <c r="E755" s="201"/>
      <c r="F755" s="199"/>
      <c r="K755" s="199"/>
    </row>
    <row r="756" spans="1:11" ht="12.75">
      <c r="A756" s="199"/>
      <c r="B756" s="199"/>
      <c r="C756" s="200"/>
      <c r="D756" s="201"/>
      <c r="E756" s="201"/>
      <c r="F756" s="199"/>
      <c r="K756" s="199"/>
    </row>
    <row r="757" spans="1:11" ht="12.75">
      <c r="A757" s="199"/>
      <c r="B757" s="199"/>
      <c r="C757" s="200"/>
      <c r="D757" s="201"/>
      <c r="E757" s="201"/>
      <c r="F757" s="199"/>
      <c r="K757" s="199"/>
    </row>
    <row r="758" spans="1:11" ht="12.75">
      <c r="A758" s="199"/>
      <c r="B758" s="199"/>
      <c r="C758" s="200"/>
      <c r="D758" s="201"/>
      <c r="E758" s="201"/>
      <c r="F758" s="199"/>
      <c r="K758" s="199"/>
    </row>
    <row r="759" spans="1:11" ht="12.75">
      <c r="A759" s="199"/>
      <c r="B759" s="199"/>
      <c r="C759" s="200"/>
      <c r="D759" s="201"/>
      <c r="E759" s="201"/>
      <c r="F759" s="199"/>
      <c r="K759" s="199"/>
    </row>
    <row r="760" spans="1:11" ht="12.75">
      <c r="A760" s="199"/>
      <c r="B760" s="199"/>
      <c r="C760" s="200"/>
      <c r="D760" s="201"/>
      <c r="E760" s="201"/>
      <c r="F760" s="199"/>
      <c r="K760" s="199"/>
    </row>
    <row r="761" spans="1:11" ht="12.75">
      <c r="A761" s="199"/>
      <c r="B761" s="199"/>
      <c r="C761" s="200"/>
      <c r="D761" s="201"/>
      <c r="E761" s="201"/>
      <c r="F761" s="199"/>
      <c r="K761" s="199"/>
    </row>
    <row r="762" spans="1:11" ht="12.75">
      <c r="A762" s="199"/>
      <c r="B762" s="199"/>
      <c r="C762" s="200"/>
      <c r="D762" s="201"/>
      <c r="E762" s="201"/>
      <c r="F762" s="199"/>
      <c r="K762" s="199"/>
    </row>
    <row r="763" spans="1:11" ht="12.75">
      <c r="A763" s="199"/>
      <c r="B763" s="199"/>
      <c r="C763" s="200"/>
      <c r="D763" s="201"/>
      <c r="E763" s="201"/>
      <c r="F763" s="199"/>
      <c r="K763" s="199"/>
    </row>
    <row r="764" spans="1:11" ht="12.75">
      <c r="A764" s="199"/>
      <c r="B764" s="199"/>
      <c r="C764" s="200"/>
      <c r="D764" s="201"/>
      <c r="E764" s="201"/>
      <c r="F764" s="199"/>
      <c r="K764" s="199"/>
    </row>
    <row r="765" spans="1:11" ht="12.75">
      <c r="A765" s="199"/>
      <c r="B765" s="199"/>
      <c r="C765" s="200"/>
      <c r="D765" s="201"/>
      <c r="E765" s="201"/>
      <c r="F765" s="199"/>
      <c r="K765" s="199"/>
    </row>
    <row r="766" spans="1:11" ht="12.75">
      <c r="A766" s="199"/>
      <c r="B766" s="199"/>
      <c r="C766" s="200"/>
      <c r="D766" s="201"/>
      <c r="E766" s="201"/>
      <c r="F766" s="199"/>
      <c r="K766" s="199"/>
    </row>
    <row r="767" spans="1:11" ht="12.75">
      <c r="A767" s="199"/>
      <c r="B767" s="199"/>
      <c r="C767" s="200"/>
      <c r="D767" s="201"/>
      <c r="E767" s="201"/>
      <c r="F767" s="199"/>
      <c r="K767" s="199"/>
    </row>
    <row r="768" spans="1:11" ht="12.75">
      <c r="A768" s="199"/>
      <c r="B768" s="199"/>
      <c r="C768" s="200"/>
      <c r="D768" s="201"/>
      <c r="E768" s="201"/>
      <c r="F768" s="199"/>
      <c r="K768" s="199"/>
    </row>
    <row r="769" spans="1:11" ht="12.75">
      <c r="A769" s="199"/>
      <c r="B769" s="199"/>
      <c r="C769" s="200"/>
      <c r="D769" s="201"/>
      <c r="E769" s="201"/>
      <c r="F769" s="199"/>
      <c r="K769" s="199"/>
    </row>
    <row r="770" spans="1:11" ht="12.75">
      <c r="A770" s="199"/>
      <c r="B770" s="199"/>
      <c r="C770" s="200"/>
      <c r="D770" s="201"/>
      <c r="E770" s="201"/>
      <c r="F770" s="199"/>
      <c r="K770" s="199"/>
    </row>
    <row r="771" spans="1:11" ht="12.75">
      <c r="A771" s="199"/>
      <c r="B771" s="199"/>
      <c r="C771" s="200"/>
      <c r="D771" s="201"/>
      <c r="E771" s="201"/>
      <c r="F771" s="199"/>
      <c r="K771" s="199"/>
    </row>
    <row r="772" spans="1:11" ht="12.75">
      <c r="A772" s="199"/>
      <c r="B772" s="199"/>
      <c r="C772" s="200"/>
      <c r="D772" s="201"/>
      <c r="E772" s="201"/>
      <c r="F772" s="199"/>
      <c r="K772" s="199"/>
    </row>
    <row r="773" spans="1:11" ht="12.75">
      <c r="A773" s="199"/>
      <c r="B773" s="199"/>
      <c r="C773" s="200"/>
      <c r="D773" s="201"/>
      <c r="E773" s="201"/>
      <c r="F773" s="199"/>
      <c r="K773" s="199"/>
    </row>
    <row r="774" spans="1:11" ht="12.75">
      <c r="A774" s="199"/>
      <c r="B774" s="199"/>
      <c r="C774" s="200"/>
      <c r="D774" s="201"/>
      <c r="E774" s="201"/>
      <c r="F774" s="199"/>
      <c r="K774" s="199"/>
    </row>
    <row r="775" spans="1:11" ht="12.75">
      <c r="A775" s="199"/>
      <c r="B775" s="199"/>
      <c r="C775" s="200"/>
      <c r="D775" s="201"/>
      <c r="E775" s="201"/>
      <c r="F775" s="199"/>
      <c r="K775" s="199"/>
    </row>
    <row r="776" spans="1:11" ht="12.75">
      <c r="A776" s="199"/>
      <c r="B776" s="199"/>
      <c r="C776" s="200"/>
      <c r="D776" s="201"/>
      <c r="E776" s="201"/>
      <c r="F776" s="199"/>
      <c r="K776" s="199"/>
    </row>
    <row r="777" spans="1:11" ht="12.75">
      <c r="A777" s="199"/>
      <c r="B777" s="199"/>
      <c r="C777" s="200"/>
      <c r="D777" s="201"/>
      <c r="E777" s="201"/>
      <c r="F777" s="199"/>
      <c r="K777" s="199"/>
    </row>
    <row r="778" spans="1:11" ht="12.75">
      <c r="A778" s="199"/>
      <c r="B778" s="199"/>
      <c r="C778" s="200"/>
      <c r="D778" s="201"/>
      <c r="E778" s="201"/>
      <c r="F778" s="199"/>
      <c r="K778" s="199"/>
    </row>
    <row r="779" spans="1:11" ht="12.75">
      <c r="A779" s="199"/>
      <c r="B779" s="199"/>
      <c r="C779" s="200"/>
      <c r="D779" s="201"/>
      <c r="E779" s="201"/>
      <c r="F779" s="199"/>
      <c r="K779" s="199"/>
    </row>
    <row r="780" spans="1:11" ht="12.75">
      <c r="A780" s="199"/>
      <c r="B780" s="199"/>
      <c r="C780" s="200"/>
      <c r="D780" s="201"/>
      <c r="E780" s="201"/>
      <c r="F780" s="199"/>
      <c r="K780" s="199"/>
    </row>
    <row r="781" spans="1:11" ht="12.75">
      <c r="A781" s="199"/>
      <c r="B781" s="199"/>
      <c r="C781" s="200"/>
      <c r="D781" s="201"/>
      <c r="E781" s="201"/>
      <c r="F781" s="199"/>
      <c r="K781" s="199"/>
    </row>
    <row r="782" spans="1:11" ht="12.75">
      <c r="A782" s="199"/>
      <c r="B782" s="199"/>
      <c r="C782" s="200"/>
      <c r="D782" s="201"/>
      <c r="E782" s="201"/>
      <c r="F782" s="199"/>
      <c r="K782" s="199"/>
    </row>
    <row r="783" spans="1:11" ht="12.75">
      <c r="A783" s="199"/>
      <c r="B783" s="199"/>
      <c r="C783" s="200"/>
      <c r="D783" s="201"/>
      <c r="E783" s="201"/>
      <c r="F783" s="199"/>
      <c r="K783" s="199"/>
    </row>
    <row r="784" spans="1:11" ht="12.75">
      <c r="A784" s="199"/>
      <c r="B784" s="199"/>
      <c r="C784" s="200"/>
      <c r="D784" s="201"/>
      <c r="E784" s="201"/>
      <c r="F784" s="199"/>
      <c r="K784" s="199"/>
    </row>
    <row r="785" spans="1:11" ht="12.75">
      <c r="A785" s="199"/>
      <c r="B785" s="199"/>
      <c r="C785" s="200"/>
      <c r="D785" s="201"/>
      <c r="E785" s="201"/>
      <c r="F785" s="199"/>
      <c r="K785" s="199"/>
    </row>
    <row r="786" spans="1:11" ht="12.75">
      <c r="A786" s="199"/>
      <c r="B786" s="199"/>
      <c r="C786" s="200"/>
      <c r="D786" s="201"/>
      <c r="E786" s="201"/>
      <c r="F786" s="199"/>
      <c r="K786" s="199"/>
    </row>
    <row r="787" spans="1:11" ht="12.75">
      <c r="A787" s="199"/>
      <c r="B787" s="199"/>
      <c r="C787" s="200"/>
      <c r="D787" s="201"/>
      <c r="E787" s="201"/>
      <c r="F787" s="199"/>
      <c r="K787" s="199"/>
    </row>
    <row r="788" spans="1:11" ht="12.75">
      <c r="A788" s="199"/>
      <c r="B788" s="199"/>
      <c r="C788" s="200"/>
      <c r="D788" s="201"/>
      <c r="E788" s="201"/>
      <c r="F788" s="199"/>
      <c r="K788" s="199"/>
    </row>
    <row r="789" spans="1:11" ht="12.75">
      <c r="A789" s="199"/>
      <c r="B789" s="199"/>
      <c r="C789" s="200"/>
      <c r="D789" s="201"/>
      <c r="E789" s="201"/>
      <c r="F789" s="199"/>
      <c r="K789" s="199"/>
    </row>
    <row r="790" spans="1:11" ht="12.75">
      <c r="A790" s="199"/>
      <c r="B790" s="199"/>
      <c r="C790" s="200"/>
      <c r="D790" s="201"/>
      <c r="E790" s="201"/>
      <c r="F790" s="199"/>
      <c r="K790" s="199"/>
    </row>
    <row r="791" spans="1:11" ht="12.75">
      <c r="A791" s="199"/>
      <c r="B791" s="199"/>
      <c r="C791" s="200"/>
      <c r="D791" s="201"/>
      <c r="E791" s="201"/>
      <c r="F791" s="199"/>
      <c r="K791" s="199"/>
    </row>
    <row r="792" spans="1:11" ht="12.75">
      <c r="A792" s="199"/>
      <c r="B792" s="199"/>
      <c r="C792" s="200"/>
      <c r="D792" s="201"/>
      <c r="E792" s="201"/>
      <c r="F792" s="199"/>
      <c r="K792" s="199"/>
    </row>
    <row r="793" spans="1:11" ht="12.75">
      <c r="A793" s="199"/>
      <c r="B793" s="199"/>
      <c r="C793" s="200"/>
      <c r="D793" s="201"/>
      <c r="E793" s="201"/>
      <c r="F793" s="199"/>
      <c r="K793" s="199"/>
    </row>
    <row r="794" spans="1:11" ht="12.75">
      <c r="A794" s="199"/>
      <c r="B794" s="199"/>
      <c r="C794" s="200"/>
      <c r="D794" s="201"/>
      <c r="E794" s="201"/>
      <c r="F794" s="199"/>
      <c r="K794" s="199"/>
    </row>
    <row r="795" spans="1:11" ht="12.75">
      <c r="A795" s="199"/>
      <c r="B795" s="199"/>
      <c r="C795" s="200"/>
      <c r="D795" s="201"/>
      <c r="E795" s="201"/>
      <c r="F795" s="199"/>
      <c r="K795" s="199"/>
    </row>
    <row r="796" spans="1:11" ht="12.75">
      <c r="A796" s="199"/>
      <c r="B796" s="199"/>
      <c r="C796" s="200"/>
      <c r="D796" s="201"/>
      <c r="E796" s="201"/>
      <c r="F796" s="199"/>
      <c r="K796" s="199"/>
    </row>
    <row r="797" spans="1:11" ht="12.75">
      <c r="A797" s="199"/>
      <c r="B797" s="199"/>
      <c r="C797" s="200"/>
      <c r="D797" s="201"/>
      <c r="E797" s="201"/>
      <c r="F797" s="199"/>
      <c r="K797" s="199"/>
    </row>
    <row r="798" spans="1:11" ht="12.75">
      <c r="A798" s="199"/>
      <c r="B798" s="199"/>
      <c r="C798" s="200"/>
      <c r="D798" s="201"/>
      <c r="E798" s="201"/>
      <c r="F798" s="199"/>
      <c r="K798" s="199"/>
    </row>
    <row r="799" spans="1:11" ht="12.75">
      <c r="A799" s="199"/>
      <c r="B799" s="199"/>
      <c r="C799" s="200"/>
      <c r="D799" s="201"/>
      <c r="E799" s="201"/>
      <c r="F799" s="199"/>
      <c r="K799" s="199"/>
    </row>
    <row r="800" spans="1:11" ht="12.75">
      <c r="A800" s="199"/>
      <c r="B800" s="199"/>
      <c r="C800" s="200"/>
      <c r="D800" s="201"/>
      <c r="E800" s="201"/>
      <c r="F800" s="199"/>
      <c r="K800" s="199"/>
    </row>
    <row r="801" spans="1:11" ht="12.75">
      <c r="A801" s="199"/>
      <c r="B801" s="199"/>
      <c r="C801" s="200"/>
      <c r="D801" s="201"/>
      <c r="E801" s="201"/>
      <c r="F801" s="199"/>
      <c r="K801" s="199"/>
    </row>
    <row r="802" spans="1:11" ht="12.75">
      <c r="A802" s="199"/>
      <c r="B802" s="199"/>
      <c r="C802" s="200"/>
      <c r="D802" s="201"/>
      <c r="E802" s="201"/>
      <c r="F802" s="199"/>
      <c r="K802" s="199"/>
    </row>
    <row r="803" spans="1:11" ht="12.75">
      <c r="A803" s="199"/>
      <c r="B803" s="199"/>
      <c r="C803" s="200"/>
      <c r="D803" s="201"/>
      <c r="E803" s="201"/>
      <c r="F803" s="199"/>
      <c r="K803" s="199"/>
    </row>
    <row r="804" spans="1:11" ht="12.75">
      <c r="A804" s="199"/>
      <c r="B804" s="199"/>
      <c r="C804" s="200"/>
      <c r="D804" s="201"/>
      <c r="E804" s="201"/>
      <c r="F804" s="199"/>
      <c r="K804" s="199"/>
    </row>
    <row r="805" spans="1:11" ht="12.75">
      <c r="A805" s="199"/>
      <c r="B805" s="199"/>
      <c r="C805" s="200"/>
      <c r="D805" s="201"/>
      <c r="E805" s="201"/>
      <c r="F805" s="199"/>
      <c r="K805" s="199"/>
    </row>
    <row r="806" spans="1:11" ht="12.75">
      <c r="A806" s="199"/>
      <c r="B806" s="199"/>
      <c r="C806" s="200"/>
      <c r="D806" s="201"/>
      <c r="E806" s="201"/>
      <c r="F806" s="199"/>
      <c r="K806" s="199"/>
    </row>
    <row r="807" spans="1:11" ht="12.75">
      <c r="A807" s="199"/>
      <c r="B807" s="199"/>
      <c r="C807" s="200"/>
      <c r="D807" s="201"/>
      <c r="E807" s="201"/>
      <c r="F807" s="199"/>
      <c r="K807" s="199"/>
    </row>
    <row r="808" spans="1:11" ht="12.75">
      <c r="A808" s="199"/>
      <c r="B808" s="199"/>
      <c r="C808" s="200"/>
      <c r="D808" s="201"/>
      <c r="E808" s="201"/>
      <c r="F808" s="199"/>
      <c r="K808" s="199"/>
    </row>
    <row r="809" spans="1:11" ht="12.75">
      <c r="A809" s="199"/>
      <c r="B809" s="199"/>
      <c r="C809" s="200"/>
      <c r="D809" s="201"/>
      <c r="E809" s="201"/>
      <c r="F809" s="199"/>
      <c r="K809" s="199"/>
    </row>
    <row r="810" spans="1:11" ht="12.75">
      <c r="A810" s="199"/>
      <c r="B810" s="199"/>
      <c r="C810" s="200"/>
      <c r="D810" s="201"/>
      <c r="E810" s="201"/>
      <c r="F810" s="199"/>
      <c r="K810" s="199"/>
    </row>
    <row r="811" spans="1:11" ht="12.75">
      <c r="A811" s="199"/>
      <c r="B811" s="199"/>
      <c r="C811" s="200"/>
      <c r="D811" s="201"/>
      <c r="E811" s="201"/>
      <c r="F811" s="199"/>
      <c r="K811" s="199"/>
    </row>
    <row r="812" spans="1:11" ht="12.75">
      <c r="A812" s="199"/>
      <c r="B812" s="199"/>
      <c r="C812" s="200"/>
      <c r="D812" s="201"/>
      <c r="E812" s="201"/>
      <c r="F812" s="199"/>
      <c r="K812" s="199"/>
    </row>
    <row r="813" spans="1:11" ht="12.75">
      <c r="A813" s="199"/>
      <c r="B813" s="199"/>
      <c r="C813" s="200"/>
      <c r="D813" s="201"/>
      <c r="E813" s="201"/>
      <c r="F813" s="199"/>
      <c r="K813" s="199"/>
    </row>
    <row r="814" spans="1:11" ht="12.75">
      <c r="A814" s="199"/>
      <c r="B814" s="199"/>
      <c r="C814" s="200"/>
      <c r="D814" s="201"/>
      <c r="E814" s="201"/>
      <c r="F814" s="199"/>
      <c r="K814" s="199"/>
    </row>
    <row r="815" spans="1:11" ht="12.75">
      <c r="A815" s="199"/>
      <c r="B815" s="199"/>
      <c r="C815" s="200"/>
      <c r="D815" s="201"/>
      <c r="E815" s="201"/>
      <c r="F815" s="199"/>
      <c r="K815" s="199"/>
    </row>
    <row r="816" spans="1:11" ht="12.75">
      <c r="A816" s="199"/>
      <c r="B816" s="199"/>
      <c r="C816" s="200"/>
      <c r="D816" s="201"/>
      <c r="E816" s="201"/>
      <c r="F816" s="199"/>
      <c r="K816" s="199"/>
    </row>
    <row r="817" spans="1:11" ht="12.75">
      <c r="A817" s="199"/>
      <c r="B817" s="199"/>
      <c r="C817" s="200"/>
      <c r="D817" s="201"/>
      <c r="E817" s="201"/>
      <c r="F817" s="199"/>
      <c r="K817" s="199"/>
    </row>
    <row r="818" spans="1:11" ht="12.75">
      <c r="A818" s="199"/>
      <c r="B818" s="199"/>
      <c r="C818" s="200"/>
      <c r="D818" s="201"/>
      <c r="E818" s="201"/>
      <c r="F818" s="199"/>
      <c r="K818" s="199"/>
    </row>
    <row r="819" spans="1:11" ht="12.75">
      <c r="A819" s="199"/>
      <c r="B819" s="199"/>
      <c r="C819" s="200"/>
      <c r="D819" s="201"/>
      <c r="E819" s="201"/>
      <c r="F819" s="199"/>
      <c r="K819" s="199"/>
    </row>
    <row r="820" spans="1:11" ht="12.75">
      <c r="A820" s="199"/>
      <c r="B820" s="199"/>
      <c r="C820" s="200"/>
      <c r="D820" s="201"/>
      <c r="E820" s="201"/>
      <c r="F820" s="199"/>
      <c r="K820" s="199"/>
    </row>
    <row r="821" spans="1:11" ht="12.75">
      <c r="A821" s="199"/>
      <c r="B821" s="199"/>
      <c r="C821" s="200"/>
      <c r="D821" s="201"/>
      <c r="E821" s="201"/>
      <c r="F821" s="199"/>
      <c r="K821" s="199"/>
    </row>
    <row r="822" spans="1:11" ht="12.75">
      <c r="A822" s="199"/>
      <c r="B822" s="199"/>
      <c r="C822" s="200"/>
      <c r="D822" s="201"/>
      <c r="E822" s="201"/>
      <c r="F822" s="199"/>
      <c r="K822" s="199"/>
    </row>
    <row r="823" spans="1:11" ht="12.75">
      <c r="A823" s="199"/>
      <c r="B823" s="199"/>
      <c r="C823" s="200"/>
      <c r="D823" s="201"/>
      <c r="E823" s="201"/>
      <c r="F823" s="199"/>
      <c r="K823" s="199"/>
    </row>
    <row r="824" spans="1:11" ht="12.75">
      <c r="A824" s="199"/>
      <c r="B824" s="199"/>
      <c r="C824" s="200"/>
      <c r="D824" s="201"/>
      <c r="E824" s="201"/>
      <c r="F824" s="199"/>
      <c r="K824" s="199"/>
    </row>
    <row r="825" spans="1:11" ht="12.75">
      <c r="A825" s="199"/>
      <c r="B825" s="199"/>
      <c r="C825" s="200"/>
      <c r="D825" s="201"/>
      <c r="E825" s="201"/>
      <c r="F825" s="199"/>
      <c r="K825" s="199"/>
    </row>
    <row r="826" spans="1:11" ht="12.75">
      <c r="A826" s="199"/>
      <c r="B826" s="199"/>
      <c r="C826" s="200"/>
      <c r="D826" s="201"/>
      <c r="E826" s="201"/>
      <c r="F826" s="199"/>
      <c r="K826" s="199"/>
    </row>
    <row r="827" spans="1:11" ht="12.75">
      <c r="A827" s="199"/>
      <c r="B827" s="199"/>
      <c r="C827" s="200"/>
      <c r="D827" s="201"/>
      <c r="E827" s="201"/>
      <c r="F827" s="199"/>
      <c r="K827" s="199"/>
    </row>
    <row r="828" spans="1:11" ht="12.75">
      <c r="A828" s="199"/>
      <c r="B828" s="199"/>
      <c r="C828" s="200"/>
      <c r="D828" s="201"/>
      <c r="E828" s="201"/>
      <c r="F828" s="199"/>
      <c r="K828" s="199"/>
    </row>
    <row r="829" spans="1:11" ht="12.75">
      <c r="A829" s="199"/>
      <c r="B829" s="199"/>
      <c r="C829" s="200"/>
      <c r="D829" s="201"/>
      <c r="E829" s="201"/>
      <c r="F829" s="199"/>
      <c r="K829" s="199"/>
    </row>
    <row r="830" spans="1:11" ht="12.75">
      <c r="A830" s="199"/>
      <c r="B830" s="199"/>
      <c r="C830" s="200"/>
      <c r="D830" s="201"/>
      <c r="E830" s="201"/>
      <c r="F830" s="199"/>
      <c r="K830" s="199"/>
    </row>
    <row r="831" spans="1:11" ht="12.75">
      <c r="A831" s="199"/>
      <c r="B831" s="199"/>
      <c r="C831" s="200"/>
      <c r="D831" s="201"/>
      <c r="E831" s="201"/>
      <c r="F831" s="199"/>
      <c r="K831" s="199"/>
    </row>
    <row r="832" spans="1:11" ht="12.75">
      <c r="A832" s="199"/>
      <c r="B832" s="199"/>
      <c r="C832" s="200"/>
      <c r="D832" s="201"/>
      <c r="E832" s="201"/>
      <c r="F832" s="199"/>
      <c r="K832" s="199"/>
    </row>
    <row r="833" spans="1:11" ht="12.75">
      <c r="A833" s="199"/>
      <c r="B833" s="199"/>
      <c r="C833" s="200"/>
      <c r="D833" s="201"/>
      <c r="E833" s="201"/>
      <c r="F833" s="199"/>
      <c r="K833" s="199"/>
    </row>
    <row r="834" spans="1:11" ht="12.75">
      <c r="A834" s="199"/>
      <c r="B834" s="199"/>
      <c r="C834" s="200"/>
      <c r="D834" s="201"/>
      <c r="E834" s="201"/>
      <c r="F834" s="199"/>
      <c r="K834" s="199"/>
    </row>
    <row r="835" spans="1:11" ht="12.75">
      <c r="A835" s="199"/>
      <c r="B835" s="199"/>
      <c r="C835" s="200"/>
      <c r="D835" s="201"/>
      <c r="E835" s="201"/>
      <c r="F835" s="199"/>
      <c r="K835" s="199"/>
    </row>
    <row r="836" spans="1:11" ht="12.75">
      <c r="A836" s="199"/>
      <c r="B836" s="199"/>
      <c r="C836" s="200"/>
      <c r="D836" s="201"/>
      <c r="E836" s="201"/>
      <c r="F836" s="199"/>
      <c r="K836" s="199"/>
    </row>
    <row r="837" spans="1:11" ht="12.75">
      <c r="A837" s="199"/>
      <c r="B837" s="199"/>
      <c r="C837" s="200"/>
      <c r="D837" s="201"/>
      <c r="E837" s="201"/>
      <c r="F837" s="199"/>
      <c r="K837" s="199"/>
    </row>
    <row r="838" spans="1:11" ht="12.75">
      <c r="A838" s="199"/>
      <c r="B838" s="199"/>
      <c r="C838" s="200"/>
      <c r="D838" s="201"/>
      <c r="E838" s="201"/>
      <c r="F838" s="199"/>
      <c r="K838" s="199"/>
    </row>
    <row r="839" spans="1:11" ht="12.75">
      <c r="A839" s="199"/>
      <c r="B839" s="199"/>
      <c r="C839" s="200"/>
      <c r="D839" s="201"/>
      <c r="E839" s="201"/>
      <c r="F839" s="199"/>
      <c r="K839" s="199"/>
    </row>
    <row r="840" spans="1:11" ht="12.75">
      <c r="A840" s="199"/>
      <c r="B840" s="199"/>
      <c r="C840" s="200"/>
      <c r="D840" s="201"/>
      <c r="E840" s="201"/>
      <c r="F840" s="199"/>
      <c r="K840" s="199"/>
    </row>
    <row r="841" spans="1:11" ht="12.75">
      <c r="A841" s="199"/>
      <c r="B841" s="199"/>
      <c r="C841" s="200"/>
      <c r="D841" s="201"/>
      <c r="E841" s="201"/>
      <c r="F841" s="199"/>
      <c r="K841" s="199"/>
    </row>
    <row r="842" spans="1:11" ht="12.75">
      <c r="A842" s="199"/>
      <c r="B842" s="199"/>
      <c r="C842" s="200"/>
      <c r="D842" s="201"/>
      <c r="E842" s="201"/>
      <c r="F842" s="199"/>
      <c r="K842" s="199"/>
    </row>
    <row r="843" spans="1:11" ht="12.75">
      <c r="A843" s="199"/>
      <c r="B843" s="199"/>
      <c r="C843" s="200"/>
      <c r="D843" s="201"/>
      <c r="E843" s="201"/>
      <c r="F843" s="199"/>
      <c r="K843" s="199"/>
    </row>
    <row r="844" spans="1:11" ht="12.75">
      <c r="A844" s="199"/>
      <c r="B844" s="199"/>
      <c r="C844" s="200"/>
      <c r="D844" s="201"/>
      <c r="E844" s="201"/>
      <c r="F844" s="199"/>
      <c r="K844" s="199"/>
    </row>
    <row r="845" spans="1:11" ht="12.75">
      <c r="A845" s="199"/>
      <c r="B845" s="199"/>
      <c r="C845" s="200"/>
      <c r="D845" s="201"/>
      <c r="E845" s="201"/>
      <c r="F845" s="199"/>
      <c r="K845" s="199"/>
    </row>
    <row r="846" spans="1:11" ht="12.75">
      <c r="A846" s="199"/>
      <c r="B846" s="199"/>
      <c r="C846" s="200"/>
      <c r="D846" s="201"/>
      <c r="E846" s="201"/>
      <c r="F846" s="199"/>
      <c r="K846" s="199"/>
    </row>
    <row r="847" spans="1:11" ht="12.75">
      <c r="A847" s="199"/>
      <c r="B847" s="199"/>
      <c r="C847" s="200"/>
      <c r="D847" s="201"/>
      <c r="E847" s="201"/>
      <c r="F847" s="199"/>
      <c r="K847" s="199"/>
    </row>
    <row r="848" spans="1:11" ht="12.75">
      <c r="A848" s="199"/>
      <c r="B848" s="199"/>
      <c r="C848" s="200"/>
      <c r="D848" s="201"/>
      <c r="E848" s="201"/>
      <c r="F848" s="199"/>
      <c r="K848" s="199"/>
    </row>
    <row r="849" spans="1:11" ht="12.75">
      <c r="A849" s="199"/>
      <c r="B849" s="199"/>
      <c r="C849" s="200"/>
      <c r="D849" s="201"/>
      <c r="E849" s="201"/>
      <c r="F849" s="199"/>
      <c r="K849" s="199"/>
    </row>
    <row r="850" spans="1:11" ht="12.75">
      <c r="A850" s="199"/>
      <c r="B850" s="199"/>
      <c r="C850" s="200"/>
      <c r="D850" s="201"/>
      <c r="E850" s="201"/>
      <c r="F850" s="199"/>
      <c r="K850" s="199"/>
    </row>
    <row r="851" spans="1:11" ht="12.75">
      <c r="A851" s="199"/>
      <c r="B851" s="199"/>
      <c r="C851" s="200"/>
      <c r="D851" s="201"/>
      <c r="E851" s="201"/>
      <c r="F851" s="199"/>
      <c r="K851" s="199"/>
    </row>
    <row r="852" spans="1:11" ht="12.75">
      <c r="A852" s="199"/>
      <c r="B852" s="199"/>
      <c r="C852" s="200"/>
      <c r="D852" s="201"/>
      <c r="E852" s="201"/>
      <c r="F852" s="199"/>
      <c r="K852" s="199"/>
    </row>
    <row r="853" spans="1:11" ht="12.75">
      <c r="A853" s="199"/>
      <c r="B853" s="199"/>
      <c r="C853" s="200"/>
      <c r="D853" s="201"/>
      <c r="E853" s="201"/>
      <c r="F853" s="199"/>
      <c r="K853" s="199"/>
    </row>
    <row r="854" spans="1:11" ht="12.75">
      <c r="A854" s="199"/>
      <c r="B854" s="199"/>
      <c r="C854" s="200"/>
      <c r="D854" s="201"/>
      <c r="E854" s="201"/>
      <c r="F854" s="199"/>
      <c r="K854" s="199"/>
    </row>
    <row r="855" spans="1:11" ht="12.75">
      <c r="A855" s="199"/>
      <c r="B855" s="199"/>
      <c r="C855" s="200"/>
      <c r="D855" s="201"/>
      <c r="E855" s="201"/>
      <c r="F855" s="199"/>
      <c r="K855" s="199"/>
    </row>
    <row r="856" spans="1:11" ht="12.75">
      <c r="A856" s="199"/>
      <c r="B856" s="199"/>
      <c r="C856" s="200"/>
      <c r="D856" s="201"/>
      <c r="E856" s="201"/>
      <c r="F856" s="199"/>
      <c r="K856" s="199"/>
    </row>
    <row r="857" spans="1:11" ht="12.75">
      <c r="A857" s="199"/>
      <c r="B857" s="199"/>
      <c r="C857" s="200"/>
      <c r="D857" s="201"/>
      <c r="E857" s="201"/>
      <c r="F857" s="199"/>
      <c r="K857" s="199"/>
    </row>
    <row r="858" spans="1:11" ht="12.75">
      <c r="A858" s="199"/>
      <c r="B858" s="199"/>
      <c r="C858" s="200"/>
      <c r="D858" s="201"/>
      <c r="E858" s="201"/>
      <c r="F858" s="199"/>
      <c r="K858" s="199"/>
    </row>
    <row r="859" spans="1:11" ht="12.75">
      <c r="A859" s="199"/>
      <c r="B859" s="199"/>
      <c r="C859" s="200"/>
      <c r="D859" s="201"/>
      <c r="E859" s="201"/>
      <c r="F859" s="199"/>
      <c r="K859" s="199"/>
    </row>
    <row r="860" spans="1:11" ht="12.75">
      <c r="A860" s="199"/>
      <c r="B860" s="199"/>
      <c r="C860" s="200"/>
      <c r="D860" s="201"/>
      <c r="E860" s="201"/>
      <c r="F860" s="199"/>
      <c r="K860" s="199"/>
    </row>
    <row r="861" spans="1:11" ht="12.75">
      <c r="A861" s="199"/>
      <c r="B861" s="199"/>
      <c r="C861" s="200"/>
      <c r="D861" s="201"/>
      <c r="E861" s="201"/>
      <c r="F861" s="199"/>
      <c r="K861" s="199"/>
    </row>
    <row r="862" spans="1:11" ht="12.75">
      <c r="A862" s="199"/>
      <c r="B862" s="199"/>
      <c r="C862" s="200"/>
      <c r="D862" s="201"/>
      <c r="E862" s="201"/>
      <c r="F862" s="199"/>
      <c r="K862" s="199"/>
    </row>
    <row r="863" spans="1:11" ht="12.75">
      <c r="A863" s="199"/>
      <c r="B863" s="199"/>
      <c r="C863" s="200"/>
      <c r="D863" s="201"/>
      <c r="E863" s="201"/>
      <c r="F863" s="199"/>
      <c r="K863" s="199"/>
    </row>
    <row r="864" spans="1:11" ht="12.75">
      <c r="A864" s="199"/>
      <c r="B864" s="199"/>
      <c r="C864" s="200"/>
      <c r="D864" s="201"/>
      <c r="E864" s="201"/>
      <c r="F864" s="199"/>
      <c r="K864" s="199"/>
    </row>
    <row r="865" spans="1:11" ht="12.75">
      <c r="A865" s="199"/>
      <c r="B865" s="199"/>
      <c r="C865" s="200"/>
      <c r="D865" s="201"/>
      <c r="E865" s="201"/>
      <c r="F865" s="199"/>
      <c r="K865" s="199"/>
    </row>
    <row r="866" spans="1:11" ht="12.75">
      <c r="A866" s="199"/>
      <c r="B866" s="199"/>
      <c r="C866" s="200"/>
      <c r="D866" s="201"/>
      <c r="E866" s="201"/>
      <c r="F866" s="199"/>
      <c r="K866" s="199"/>
    </row>
    <row r="867" spans="1:11" ht="12.75">
      <c r="A867" s="199"/>
      <c r="B867" s="199"/>
      <c r="C867" s="200"/>
      <c r="D867" s="201"/>
      <c r="E867" s="201"/>
      <c r="F867" s="199"/>
      <c r="K867" s="199"/>
    </row>
    <row r="868" spans="1:11" ht="12.75">
      <c r="A868" s="199"/>
      <c r="B868" s="199"/>
      <c r="C868" s="200"/>
      <c r="D868" s="201"/>
      <c r="E868" s="201"/>
      <c r="F868" s="199"/>
      <c r="K868" s="199"/>
    </row>
    <row r="869" spans="1:11" ht="12.75">
      <c r="A869" s="199"/>
      <c r="B869" s="199"/>
      <c r="C869" s="200"/>
      <c r="D869" s="201"/>
      <c r="E869" s="201"/>
      <c r="F869" s="199"/>
      <c r="K869" s="199"/>
    </row>
    <row r="870" spans="1:11" ht="12.75">
      <c r="A870" s="199"/>
      <c r="B870" s="199"/>
      <c r="C870" s="200"/>
      <c r="D870" s="201"/>
      <c r="E870" s="201"/>
      <c r="F870" s="199"/>
      <c r="K870" s="199"/>
    </row>
    <row r="871" spans="1:11" ht="12.75">
      <c r="A871" s="199"/>
      <c r="B871" s="199"/>
      <c r="C871" s="200"/>
      <c r="D871" s="201"/>
      <c r="E871" s="201"/>
      <c r="F871" s="199"/>
      <c r="K871" s="199"/>
    </row>
    <row r="872" spans="1:11" ht="12.75">
      <c r="A872" s="199"/>
      <c r="B872" s="199"/>
      <c r="C872" s="200"/>
      <c r="D872" s="201"/>
      <c r="E872" s="201"/>
      <c r="F872" s="199"/>
      <c r="K872" s="199"/>
    </row>
    <row r="873" spans="1:11" ht="12.75">
      <c r="A873" s="199"/>
      <c r="B873" s="199"/>
      <c r="C873" s="200"/>
      <c r="D873" s="201"/>
      <c r="E873" s="201"/>
      <c r="F873" s="199"/>
      <c r="K873" s="199"/>
    </row>
    <row r="874" spans="1:11" ht="12.75">
      <c r="A874" s="199"/>
      <c r="B874" s="199"/>
      <c r="C874" s="200"/>
      <c r="D874" s="201"/>
      <c r="E874" s="201"/>
      <c r="F874" s="199"/>
      <c r="K874" s="199"/>
    </row>
    <row r="875" spans="1:11" ht="12.75">
      <c r="A875" s="199"/>
      <c r="B875" s="199"/>
      <c r="C875" s="200"/>
      <c r="D875" s="201"/>
      <c r="E875" s="201"/>
      <c r="F875" s="199"/>
      <c r="K875" s="199"/>
    </row>
    <row r="876" spans="1:11" ht="12.75">
      <c r="A876" s="199"/>
      <c r="B876" s="199"/>
      <c r="C876" s="200"/>
      <c r="D876" s="201"/>
      <c r="E876" s="201"/>
      <c r="F876" s="199"/>
      <c r="K876" s="199"/>
    </row>
    <row r="877" spans="1:11" ht="12.75">
      <c r="A877" s="199"/>
      <c r="B877" s="199"/>
      <c r="C877" s="200"/>
      <c r="D877" s="201"/>
      <c r="E877" s="201"/>
      <c r="F877" s="199"/>
      <c r="K877" s="199"/>
    </row>
    <row r="878" spans="1:11" ht="12.75">
      <c r="A878" s="199"/>
      <c r="B878" s="199"/>
      <c r="C878" s="200"/>
      <c r="D878" s="201"/>
      <c r="E878" s="201"/>
      <c r="F878" s="199"/>
      <c r="K878" s="199"/>
    </row>
    <row r="879" spans="1:11" ht="12.75">
      <c r="A879" s="199"/>
      <c r="B879" s="199"/>
      <c r="C879" s="200"/>
      <c r="D879" s="201"/>
      <c r="E879" s="201"/>
      <c r="F879" s="199"/>
      <c r="K879" s="199"/>
    </row>
    <row r="880" spans="1:11" ht="12.75">
      <c r="A880" s="199"/>
      <c r="B880" s="199"/>
      <c r="C880" s="200"/>
      <c r="D880" s="201"/>
      <c r="E880" s="201"/>
      <c r="F880" s="199"/>
      <c r="K880" s="199"/>
    </row>
    <row r="881" spans="1:11" ht="12.75">
      <c r="A881" s="199"/>
      <c r="B881" s="199"/>
      <c r="C881" s="200"/>
      <c r="D881" s="201"/>
      <c r="E881" s="201"/>
      <c r="F881" s="199"/>
      <c r="K881" s="199"/>
    </row>
    <row r="882" spans="1:11" ht="12.75">
      <c r="A882" s="199"/>
      <c r="B882" s="199"/>
      <c r="C882" s="200"/>
      <c r="D882" s="201"/>
      <c r="E882" s="201"/>
      <c r="F882" s="199"/>
      <c r="K882" s="199"/>
    </row>
    <row r="883" spans="1:11" ht="12.75">
      <c r="A883" s="199"/>
      <c r="B883" s="199"/>
      <c r="C883" s="200"/>
      <c r="D883" s="201"/>
      <c r="E883" s="201"/>
      <c r="F883" s="199"/>
      <c r="K883" s="199"/>
    </row>
    <row r="884" spans="1:11" ht="12.75">
      <c r="A884" s="199"/>
      <c r="B884" s="199"/>
      <c r="C884" s="200"/>
      <c r="D884" s="201"/>
      <c r="E884" s="201"/>
      <c r="F884" s="199"/>
      <c r="K884" s="199"/>
    </row>
    <row r="885" spans="1:11" ht="12.75">
      <c r="A885" s="199"/>
      <c r="B885" s="199"/>
      <c r="C885" s="200"/>
      <c r="D885" s="201"/>
      <c r="E885" s="201"/>
      <c r="F885" s="199"/>
      <c r="K885" s="199"/>
    </row>
    <row r="886" spans="1:11" ht="12.75">
      <c r="A886" s="199"/>
      <c r="B886" s="199"/>
      <c r="C886" s="200"/>
      <c r="D886" s="201"/>
      <c r="E886" s="201"/>
      <c r="F886" s="199"/>
      <c r="K886" s="199"/>
    </row>
    <row r="887" spans="1:11" ht="12.75">
      <c r="A887" s="199"/>
      <c r="B887" s="199"/>
      <c r="C887" s="200"/>
      <c r="D887" s="201"/>
      <c r="E887" s="201"/>
      <c r="F887" s="199"/>
      <c r="K887" s="199"/>
    </row>
    <row r="888" spans="1:11" ht="12.75">
      <c r="A888" s="199"/>
      <c r="B888" s="199"/>
      <c r="C888" s="200"/>
      <c r="D888" s="201"/>
      <c r="E888" s="201"/>
      <c r="F888" s="199"/>
      <c r="K888" s="199"/>
    </row>
    <row r="889" spans="1:11" ht="12.75">
      <c r="A889" s="199"/>
      <c r="B889" s="199"/>
      <c r="C889" s="200"/>
      <c r="D889" s="201"/>
      <c r="E889" s="201"/>
      <c r="F889" s="199"/>
      <c r="K889" s="199"/>
    </row>
    <row r="890" spans="1:11" ht="12.75">
      <c r="A890" s="199"/>
      <c r="B890" s="199"/>
      <c r="C890" s="200"/>
      <c r="D890" s="201"/>
      <c r="E890" s="201"/>
      <c r="F890" s="199"/>
      <c r="K890" s="199"/>
    </row>
    <row r="891" spans="1:11" ht="12.75">
      <c r="A891" s="199"/>
      <c r="B891" s="199"/>
      <c r="C891" s="200"/>
      <c r="D891" s="201"/>
      <c r="E891" s="201"/>
      <c r="F891" s="199"/>
      <c r="K891" s="199"/>
    </row>
    <row r="892" spans="1:11" ht="12.75">
      <c r="A892" s="199"/>
      <c r="B892" s="199"/>
      <c r="C892" s="200"/>
      <c r="D892" s="201"/>
      <c r="E892" s="201"/>
      <c r="F892" s="199"/>
      <c r="K892" s="199"/>
    </row>
    <row r="893" spans="1:11" ht="12.75">
      <c r="A893" s="199"/>
      <c r="B893" s="199"/>
      <c r="C893" s="200"/>
      <c r="D893" s="201"/>
      <c r="E893" s="201"/>
      <c r="F893" s="199"/>
      <c r="K893" s="199"/>
    </row>
    <row r="894" spans="1:11" ht="12.75">
      <c r="A894" s="199"/>
      <c r="B894" s="199"/>
      <c r="C894" s="200"/>
      <c r="D894" s="201"/>
      <c r="E894" s="201"/>
      <c r="F894" s="199"/>
      <c r="K894" s="199"/>
    </row>
    <row r="895" spans="1:11" ht="12.75">
      <c r="A895" s="199"/>
      <c r="B895" s="199"/>
      <c r="C895" s="200"/>
      <c r="D895" s="201"/>
      <c r="E895" s="201"/>
      <c r="F895" s="199"/>
      <c r="K895" s="199"/>
    </row>
    <row r="896" spans="1:11" ht="12.75">
      <c r="A896" s="199"/>
      <c r="B896" s="199"/>
      <c r="C896" s="200"/>
      <c r="D896" s="201"/>
      <c r="E896" s="201"/>
      <c r="F896" s="199"/>
      <c r="K896" s="199"/>
    </row>
    <row r="897" spans="1:11" ht="12.75">
      <c r="A897" s="199"/>
      <c r="B897" s="199"/>
      <c r="C897" s="200"/>
      <c r="D897" s="201"/>
      <c r="E897" s="201"/>
      <c r="F897" s="199"/>
      <c r="K897" s="199"/>
    </row>
    <row r="898" spans="1:11" ht="12.75">
      <c r="A898" s="199"/>
      <c r="B898" s="199"/>
      <c r="C898" s="200"/>
      <c r="D898" s="201"/>
      <c r="E898" s="201"/>
      <c r="F898" s="199"/>
      <c r="K898" s="199"/>
    </row>
    <row r="899" spans="1:11" ht="12.75">
      <c r="A899" s="199"/>
      <c r="B899" s="199"/>
      <c r="C899" s="200"/>
      <c r="D899" s="201"/>
      <c r="E899" s="201"/>
      <c r="F899" s="199"/>
      <c r="K899" s="199"/>
    </row>
    <row r="900" spans="1:11" ht="12.75">
      <c r="A900" s="199"/>
      <c r="B900" s="199"/>
      <c r="C900" s="200"/>
      <c r="D900" s="201"/>
      <c r="E900" s="201"/>
      <c r="F900" s="199"/>
      <c r="K900" s="199"/>
    </row>
    <row r="901" spans="1:11" ht="12.75">
      <c r="A901" s="199"/>
      <c r="B901" s="199"/>
      <c r="C901" s="200"/>
      <c r="D901" s="201"/>
      <c r="E901" s="201"/>
      <c r="F901" s="199"/>
      <c r="K901" s="199"/>
    </row>
    <row r="902" spans="1:11" ht="12.75">
      <c r="A902" s="199"/>
      <c r="B902" s="199"/>
      <c r="C902" s="200"/>
      <c r="D902" s="201"/>
      <c r="E902" s="201"/>
      <c r="F902" s="199"/>
      <c r="K902" s="199"/>
    </row>
    <row r="903" spans="1:11" ht="12.75">
      <c r="A903" s="199"/>
      <c r="B903" s="199"/>
      <c r="C903" s="200"/>
      <c r="D903" s="201"/>
      <c r="E903" s="201"/>
      <c r="F903" s="199"/>
      <c r="K903" s="199"/>
    </row>
    <row r="904" spans="1:11" ht="12.75">
      <c r="A904" s="199"/>
      <c r="B904" s="199"/>
      <c r="C904" s="200"/>
      <c r="D904" s="201"/>
      <c r="E904" s="201"/>
      <c r="F904" s="199"/>
      <c r="K904" s="199"/>
    </row>
    <row r="905" spans="1:11" ht="12.75">
      <c r="A905" s="199"/>
      <c r="B905" s="199"/>
      <c r="C905" s="200"/>
      <c r="D905" s="201"/>
      <c r="E905" s="201"/>
      <c r="F905" s="199"/>
      <c r="K905" s="199"/>
    </row>
    <row r="906" spans="1:11" ht="12.75">
      <c r="A906" s="199"/>
      <c r="B906" s="199"/>
      <c r="C906" s="200"/>
      <c r="D906" s="201"/>
      <c r="E906" s="201"/>
      <c r="F906" s="199"/>
      <c r="K906" s="199"/>
    </row>
    <row r="907" spans="1:11" ht="12.75">
      <c r="A907" s="199"/>
      <c r="B907" s="199"/>
      <c r="C907" s="200"/>
      <c r="D907" s="201"/>
      <c r="E907" s="201"/>
      <c r="F907" s="199"/>
      <c r="K907" s="199"/>
    </row>
    <row r="908" spans="1:11" ht="12.75">
      <c r="A908" s="199"/>
      <c r="B908" s="199"/>
      <c r="C908" s="200"/>
      <c r="D908" s="201"/>
      <c r="E908" s="201"/>
      <c r="F908" s="199"/>
      <c r="K908" s="199"/>
    </row>
    <row r="909" spans="1:11" ht="12.75">
      <c r="A909" s="199"/>
      <c r="B909" s="199"/>
      <c r="C909" s="200"/>
      <c r="D909" s="201"/>
      <c r="E909" s="201"/>
      <c r="F909" s="199"/>
      <c r="K909" s="199"/>
    </row>
    <row r="910" spans="1:11" ht="12.75">
      <c r="A910" s="199"/>
      <c r="B910" s="199"/>
      <c r="C910" s="200"/>
      <c r="D910" s="201"/>
      <c r="E910" s="201"/>
      <c r="F910" s="199"/>
      <c r="K910" s="199"/>
    </row>
    <row r="911" spans="1:11" ht="12.75">
      <c r="A911" s="199"/>
      <c r="B911" s="199"/>
      <c r="C911" s="200"/>
      <c r="D911" s="201"/>
      <c r="E911" s="201"/>
      <c r="F911" s="199"/>
      <c r="K911" s="199"/>
    </row>
    <row r="912" spans="1:11" ht="12.75">
      <c r="A912" s="199"/>
      <c r="B912" s="199"/>
      <c r="C912" s="200"/>
      <c r="D912" s="201"/>
      <c r="E912" s="201"/>
      <c r="F912" s="199"/>
      <c r="K912" s="199"/>
    </row>
    <row r="913" spans="1:11" ht="12.75">
      <c r="A913" s="199"/>
      <c r="B913" s="199"/>
      <c r="C913" s="200"/>
      <c r="D913" s="201"/>
      <c r="E913" s="201"/>
      <c r="F913" s="199"/>
      <c r="K913" s="199"/>
    </row>
    <row r="914" spans="1:11" ht="12.75">
      <c r="A914" s="199"/>
      <c r="B914" s="199"/>
      <c r="C914" s="200"/>
      <c r="D914" s="201"/>
      <c r="E914" s="201"/>
      <c r="F914" s="199"/>
      <c r="K914" s="199"/>
    </row>
    <row r="915" spans="1:11" ht="12.75">
      <c r="A915" s="199"/>
      <c r="B915" s="199"/>
      <c r="C915" s="200"/>
      <c r="D915" s="201"/>
      <c r="E915" s="201"/>
      <c r="F915" s="199"/>
      <c r="K915" s="199"/>
    </row>
    <row r="916" spans="1:11" ht="12.75">
      <c r="A916" s="199"/>
      <c r="B916" s="199"/>
      <c r="C916" s="200"/>
      <c r="D916" s="201"/>
      <c r="E916" s="201"/>
      <c r="F916" s="199"/>
      <c r="K916" s="199"/>
    </row>
    <row r="917" spans="1:11" ht="12.75">
      <c r="A917" s="199"/>
      <c r="B917" s="199"/>
      <c r="C917" s="200"/>
      <c r="D917" s="201"/>
      <c r="E917" s="201"/>
      <c r="F917" s="199"/>
      <c r="K917" s="199"/>
    </row>
    <row r="918" spans="1:11" ht="12.75">
      <c r="A918" s="199"/>
      <c r="B918" s="199"/>
      <c r="C918" s="200"/>
      <c r="D918" s="201"/>
      <c r="E918" s="201"/>
      <c r="F918" s="199"/>
      <c r="K918" s="199"/>
    </row>
    <row r="919" spans="1:11" ht="12.75">
      <c r="A919" s="199"/>
      <c r="B919" s="199"/>
      <c r="C919" s="200"/>
      <c r="D919" s="201"/>
      <c r="E919" s="201"/>
      <c r="F919" s="199"/>
      <c r="K919" s="199"/>
    </row>
    <row r="920" spans="1:11" ht="12.75">
      <c r="A920" s="199"/>
      <c r="B920" s="199"/>
      <c r="C920" s="200"/>
      <c r="D920" s="201"/>
      <c r="E920" s="201"/>
      <c r="F920" s="199"/>
      <c r="K920" s="199"/>
    </row>
    <row r="921" spans="1:11" ht="12.75">
      <c r="A921" s="199"/>
      <c r="B921" s="199"/>
      <c r="C921" s="200"/>
      <c r="D921" s="201"/>
      <c r="E921" s="201"/>
      <c r="F921" s="199"/>
      <c r="K921" s="199"/>
    </row>
    <row r="922" spans="1:11" ht="12.75">
      <c r="A922" s="199"/>
      <c r="B922" s="199"/>
      <c r="C922" s="200"/>
      <c r="D922" s="201"/>
      <c r="E922" s="201"/>
      <c r="F922" s="199"/>
      <c r="K922" s="199"/>
    </row>
    <row r="923" spans="1:11" ht="12.75">
      <c r="A923" s="199"/>
      <c r="B923" s="199"/>
      <c r="C923" s="200"/>
      <c r="D923" s="201"/>
      <c r="E923" s="201"/>
      <c r="F923" s="199"/>
      <c r="K923" s="199"/>
    </row>
    <row r="924" spans="1:11" ht="12.75">
      <c r="A924" s="199"/>
      <c r="B924" s="199"/>
      <c r="C924" s="200"/>
      <c r="D924" s="201"/>
      <c r="E924" s="201"/>
      <c r="F924" s="199"/>
      <c r="K924" s="199"/>
    </row>
    <row r="925" spans="1:11" ht="12.75">
      <c r="A925" s="199"/>
      <c r="B925" s="199"/>
      <c r="C925" s="200"/>
      <c r="D925" s="201"/>
      <c r="E925" s="201"/>
      <c r="F925" s="199"/>
      <c r="K925" s="199"/>
    </row>
    <row r="926" spans="1:11" ht="12.75">
      <c r="A926" s="199"/>
      <c r="B926" s="199"/>
      <c r="C926" s="200"/>
      <c r="D926" s="201"/>
      <c r="E926" s="201"/>
      <c r="F926" s="199"/>
      <c r="K926" s="199"/>
    </row>
    <row r="927" spans="1:11" ht="12.75">
      <c r="A927" s="199"/>
      <c r="B927" s="199"/>
      <c r="C927" s="200"/>
      <c r="D927" s="201"/>
      <c r="E927" s="201"/>
      <c r="F927" s="199"/>
      <c r="K927" s="199"/>
    </row>
    <row r="928" spans="1:11" ht="12.75">
      <c r="A928" s="199"/>
      <c r="B928" s="199"/>
      <c r="C928" s="200"/>
      <c r="D928" s="201"/>
      <c r="E928" s="201"/>
      <c r="F928" s="199"/>
      <c r="K928" s="199"/>
    </row>
    <row r="929" spans="1:11" ht="12.75">
      <c r="A929" s="199"/>
      <c r="B929" s="199"/>
      <c r="C929" s="200"/>
      <c r="D929" s="201"/>
      <c r="E929" s="201"/>
      <c r="F929" s="199"/>
      <c r="K929" s="199"/>
    </row>
    <row r="930" spans="1:11" ht="12.75">
      <c r="A930" s="199"/>
      <c r="B930" s="199"/>
      <c r="C930" s="200"/>
      <c r="D930" s="201"/>
      <c r="E930" s="201"/>
      <c r="F930" s="199"/>
      <c r="K930" s="199"/>
    </row>
    <row r="931" spans="1:11" ht="12.75">
      <c r="A931" s="199"/>
      <c r="B931" s="199"/>
      <c r="C931" s="200"/>
      <c r="D931" s="201"/>
      <c r="E931" s="201"/>
      <c r="F931" s="199"/>
      <c r="K931" s="199"/>
    </row>
    <row r="932" spans="1:11" ht="12.75">
      <c r="A932" s="199"/>
      <c r="B932" s="199"/>
      <c r="C932" s="200"/>
      <c r="D932" s="201"/>
      <c r="E932" s="201"/>
      <c r="F932" s="199"/>
      <c r="K932" s="199"/>
    </row>
    <row r="933" spans="1:11" ht="12.75">
      <c r="A933" s="199"/>
      <c r="B933" s="199"/>
      <c r="C933" s="200"/>
      <c r="D933" s="201"/>
      <c r="E933" s="201"/>
      <c r="F933" s="199"/>
      <c r="K933" s="199"/>
    </row>
    <row r="934" spans="1:11" ht="12.75">
      <c r="A934" s="199"/>
      <c r="B934" s="199"/>
      <c r="C934" s="200"/>
      <c r="D934" s="201"/>
      <c r="E934" s="201"/>
      <c r="F934" s="199"/>
      <c r="K934" s="199"/>
    </row>
    <row r="935" spans="1:11" ht="12.75">
      <c r="A935" s="199"/>
      <c r="B935" s="199"/>
      <c r="C935" s="200"/>
      <c r="D935" s="201"/>
      <c r="E935" s="201"/>
      <c r="F935" s="199"/>
      <c r="K935" s="199"/>
    </row>
    <row r="936" spans="1:11" ht="12.75">
      <c r="A936" s="199"/>
      <c r="B936" s="199"/>
      <c r="C936" s="200"/>
      <c r="D936" s="201"/>
      <c r="E936" s="201"/>
      <c r="F936" s="199"/>
      <c r="K936" s="199"/>
    </row>
    <row r="937" spans="1:11" ht="12.75">
      <c r="A937" s="199"/>
      <c r="B937" s="199"/>
      <c r="C937" s="200"/>
      <c r="D937" s="201"/>
      <c r="E937" s="201"/>
      <c r="F937" s="199"/>
      <c r="K937" s="199"/>
    </row>
    <row r="938" spans="1:11" ht="12.75">
      <c r="A938" s="199"/>
      <c r="B938" s="199"/>
      <c r="C938" s="200"/>
      <c r="D938" s="201"/>
      <c r="E938" s="201"/>
      <c r="F938" s="199"/>
      <c r="K938" s="199"/>
    </row>
    <row r="939" spans="1:11" ht="12.75">
      <c r="A939" s="199"/>
      <c r="B939" s="199"/>
      <c r="C939" s="200"/>
      <c r="D939" s="201"/>
      <c r="E939" s="201"/>
      <c r="F939" s="199"/>
      <c r="K939" s="199"/>
    </row>
    <row r="940" spans="1:11" ht="12.75">
      <c r="A940" s="199"/>
      <c r="B940" s="199"/>
      <c r="C940" s="200"/>
      <c r="D940" s="201"/>
      <c r="E940" s="201"/>
      <c r="F940" s="199"/>
      <c r="K940" s="199"/>
    </row>
    <row r="941" spans="1:11" ht="12.75">
      <c r="A941" s="199"/>
      <c r="B941" s="199"/>
      <c r="C941" s="200"/>
      <c r="D941" s="201"/>
      <c r="E941" s="201"/>
      <c r="F941" s="199"/>
      <c r="K941" s="199"/>
    </row>
    <row r="942" spans="1:11" ht="12.75">
      <c r="A942" s="199"/>
      <c r="B942" s="199"/>
      <c r="C942" s="200"/>
      <c r="D942" s="201"/>
      <c r="E942" s="201"/>
      <c r="F942" s="199"/>
      <c r="K942" s="199"/>
    </row>
    <row r="943" spans="1:11" ht="12.75">
      <c r="A943" s="199"/>
      <c r="B943" s="199"/>
      <c r="C943" s="200"/>
      <c r="D943" s="201"/>
      <c r="E943" s="201"/>
      <c r="F943" s="199"/>
      <c r="K943" s="199"/>
    </row>
    <row r="944" spans="1:11" ht="12.75">
      <c r="A944" s="199"/>
      <c r="B944" s="199"/>
      <c r="C944" s="200"/>
      <c r="D944" s="201"/>
      <c r="E944" s="201"/>
      <c r="F944" s="199"/>
      <c r="K944" s="199"/>
    </row>
    <row r="945" spans="1:11" ht="12.75">
      <c r="A945" s="199"/>
      <c r="B945" s="199"/>
      <c r="C945" s="200"/>
      <c r="D945" s="201"/>
      <c r="E945" s="201"/>
      <c r="F945" s="199"/>
      <c r="K945" s="199"/>
    </row>
    <row r="946" spans="1:11" ht="12.75">
      <c r="A946" s="199"/>
      <c r="B946" s="199"/>
      <c r="C946" s="200"/>
      <c r="D946" s="201"/>
      <c r="E946" s="201"/>
      <c r="F946" s="199"/>
      <c r="K946" s="199"/>
    </row>
    <row r="947" spans="1:11" ht="12.75">
      <c r="A947" s="199"/>
      <c r="B947" s="199"/>
      <c r="C947" s="200"/>
      <c r="D947" s="201"/>
      <c r="E947" s="201"/>
      <c r="F947" s="199"/>
      <c r="K947" s="199"/>
    </row>
    <row r="948" spans="1:11" ht="12.75">
      <c r="A948" s="199"/>
      <c r="B948" s="199"/>
      <c r="C948" s="200"/>
      <c r="D948" s="201"/>
      <c r="E948" s="201"/>
      <c r="F948" s="199"/>
      <c r="K948" s="199"/>
    </row>
    <row r="949" spans="1:11" ht="12.75">
      <c r="A949" s="199"/>
      <c r="B949" s="199"/>
      <c r="C949" s="200"/>
      <c r="D949" s="201"/>
      <c r="E949" s="201"/>
      <c r="F949" s="199"/>
      <c r="K949" s="199"/>
    </row>
    <row r="950" spans="1:11" ht="12.75">
      <c r="A950" s="199"/>
      <c r="B950" s="199"/>
      <c r="C950" s="200"/>
      <c r="D950" s="201"/>
      <c r="E950" s="201"/>
      <c r="F950" s="199"/>
      <c r="K950" s="199"/>
    </row>
    <row r="951" spans="1:11" ht="12.75">
      <c r="A951" s="199"/>
      <c r="B951" s="199"/>
      <c r="C951" s="200"/>
      <c r="D951" s="201"/>
      <c r="E951" s="201"/>
      <c r="F951" s="199"/>
      <c r="K951" s="199"/>
    </row>
    <row r="952" spans="1:11" ht="12.75">
      <c r="A952" s="199"/>
      <c r="B952" s="199"/>
      <c r="C952" s="200"/>
      <c r="D952" s="201"/>
      <c r="E952" s="201"/>
      <c r="F952" s="199"/>
      <c r="K952" s="199"/>
    </row>
    <row r="953" spans="1:11" ht="12.75">
      <c r="A953" s="199"/>
      <c r="B953" s="199"/>
      <c r="C953" s="200"/>
      <c r="D953" s="201"/>
      <c r="E953" s="201"/>
      <c r="F953" s="199"/>
      <c r="K953" s="199"/>
    </row>
    <row r="954" spans="1:11" ht="12.75">
      <c r="A954" s="199"/>
      <c r="B954" s="199"/>
      <c r="C954" s="200"/>
      <c r="D954" s="201"/>
      <c r="E954" s="201"/>
      <c r="F954" s="199"/>
      <c r="K954" s="199"/>
    </row>
    <row r="955" spans="1:11" ht="12.75">
      <c r="A955" s="199"/>
      <c r="B955" s="199"/>
      <c r="C955" s="200"/>
      <c r="D955" s="201"/>
      <c r="E955" s="201"/>
      <c r="F955" s="199"/>
      <c r="K955" s="199"/>
    </row>
    <row r="956" spans="1:11" ht="12.75">
      <c r="A956" s="199"/>
      <c r="B956" s="199"/>
      <c r="C956" s="200"/>
      <c r="D956" s="201"/>
      <c r="E956" s="201"/>
      <c r="F956" s="199"/>
      <c r="K956" s="199"/>
    </row>
    <row r="957" spans="1:11" ht="12.75">
      <c r="A957" s="199"/>
      <c r="B957" s="199"/>
      <c r="C957" s="200"/>
      <c r="D957" s="201"/>
      <c r="E957" s="201"/>
      <c r="F957" s="199"/>
      <c r="K957" s="199"/>
    </row>
    <row r="958" spans="1:11" ht="12.75">
      <c r="A958" s="199"/>
      <c r="B958" s="199"/>
      <c r="C958" s="200"/>
      <c r="D958" s="201"/>
      <c r="E958" s="201"/>
      <c r="F958" s="199"/>
      <c r="K958" s="199"/>
    </row>
    <row r="959" spans="1:11" ht="12.75">
      <c r="A959" s="199"/>
      <c r="B959" s="199"/>
      <c r="C959" s="200"/>
      <c r="D959" s="201"/>
      <c r="E959" s="201"/>
      <c r="F959" s="199"/>
      <c r="K959" s="199"/>
    </row>
    <row r="960" spans="1:11" ht="12.75">
      <c r="A960" s="199"/>
      <c r="B960" s="199"/>
      <c r="C960" s="200"/>
      <c r="D960" s="201"/>
      <c r="E960" s="201"/>
      <c r="F960" s="199"/>
      <c r="K960" s="199"/>
    </row>
    <row r="961" spans="1:11" ht="12.75">
      <c r="A961" s="199"/>
      <c r="B961" s="199"/>
      <c r="C961" s="200"/>
      <c r="D961" s="201"/>
      <c r="E961" s="201"/>
      <c r="F961" s="199"/>
      <c r="K961" s="199"/>
    </row>
    <row r="962" spans="1:11" ht="12.75">
      <c r="A962" s="199"/>
      <c r="B962" s="199"/>
      <c r="C962" s="200"/>
      <c r="D962" s="201"/>
      <c r="E962" s="201"/>
      <c r="F962" s="199"/>
      <c r="K962" s="199"/>
    </row>
    <row r="963" spans="1:11" ht="12.75">
      <c r="A963" s="199"/>
      <c r="B963" s="199"/>
      <c r="C963" s="200"/>
      <c r="D963" s="201"/>
      <c r="E963" s="201"/>
      <c r="F963" s="199"/>
      <c r="K963" s="199"/>
    </row>
    <row r="964" spans="1:11" ht="12.75">
      <c r="A964" s="199"/>
      <c r="B964" s="199"/>
      <c r="C964" s="200"/>
      <c r="D964" s="201"/>
      <c r="E964" s="201"/>
      <c r="F964" s="199"/>
      <c r="K964" s="199"/>
    </row>
    <row r="965" spans="1:11" ht="12.75">
      <c r="A965" s="199"/>
      <c r="B965" s="199"/>
      <c r="C965" s="200"/>
      <c r="D965" s="201"/>
      <c r="E965" s="201"/>
      <c r="F965" s="199"/>
      <c r="K965" s="199"/>
    </row>
    <row r="966" spans="1:11" ht="12.75">
      <c r="A966" s="199"/>
      <c r="B966" s="199"/>
      <c r="C966" s="200"/>
      <c r="D966" s="201"/>
      <c r="E966" s="201"/>
      <c r="F966" s="199"/>
      <c r="K966" s="199"/>
    </row>
    <row r="967" spans="1:11" ht="12.75">
      <c r="A967" s="199"/>
      <c r="B967" s="199"/>
      <c r="C967" s="200"/>
      <c r="D967" s="201"/>
      <c r="E967" s="201"/>
      <c r="F967" s="199"/>
      <c r="K967" s="199"/>
    </row>
    <row r="968" spans="1:11" ht="12.75">
      <c r="A968" s="199"/>
      <c r="B968" s="199"/>
      <c r="C968" s="200"/>
      <c r="D968" s="201"/>
      <c r="E968" s="201"/>
      <c r="F968" s="199"/>
      <c r="K968" s="199"/>
    </row>
    <row r="969" spans="1:11" ht="12.75">
      <c r="A969" s="199"/>
      <c r="B969" s="199"/>
      <c r="C969" s="200"/>
      <c r="D969" s="201"/>
      <c r="E969" s="201"/>
      <c r="F969" s="199"/>
      <c r="K969" s="199"/>
    </row>
    <row r="970" spans="1:11" ht="12.75">
      <c r="A970" s="199"/>
      <c r="B970" s="199"/>
      <c r="C970" s="200"/>
      <c r="D970" s="201"/>
      <c r="E970" s="201"/>
      <c r="F970" s="199"/>
      <c r="K970" s="199"/>
    </row>
    <row r="971" spans="1:11" ht="12.75">
      <c r="A971" s="199"/>
      <c r="B971" s="199"/>
      <c r="C971" s="200"/>
      <c r="D971" s="201"/>
      <c r="E971" s="201"/>
      <c r="F971" s="199"/>
      <c r="K971" s="199"/>
    </row>
    <row r="972" spans="1:11" ht="12.75">
      <c r="A972" s="199"/>
      <c r="B972" s="199"/>
      <c r="C972" s="200"/>
      <c r="D972" s="201"/>
      <c r="E972" s="201"/>
      <c r="F972" s="199"/>
      <c r="K972" s="199"/>
    </row>
    <row r="973" spans="1:11" ht="12.75">
      <c r="A973" s="199"/>
      <c r="B973" s="199"/>
      <c r="C973" s="200"/>
      <c r="D973" s="201"/>
      <c r="E973" s="201"/>
      <c r="F973" s="199"/>
      <c r="K973" s="199"/>
    </row>
    <row r="974" spans="1:11" ht="12.75">
      <c r="A974" s="199"/>
      <c r="B974" s="199"/>
      <c r="C974" s="200"/>
      <c r="D974" s="201"/>
      <c r="E974" s="201"/>
      <c r="F974" s="199"/>
      <c r="K974" s="199"/>
    </row>
    <row r="975" spans="1:11" ht="12.75">
      <c r="A975" s="199"/>
      <c r="B975" s="199"/>
      <c r="C975" s="200"/>
      <c r="D975" s="201"/>
      <c r="E975" s="201"/>
      <c r="F975" s="199"/>
      <c r="K975" s="199"/>
    </row>
    <row r="976" spans="1:11" ht="12.75">
      <c r="A976" s="199"/>
      <c r="B976" s="199"/>
      <c r="C976" s="200"/>
      <c r="D976" s="201"/>
      <c r="E976" s="201"/>
      <c r="F976" s="199"/>
      <c r="K976" s="199"/>
    </row>
    <row r="977" spans="1:11" ht="12.75">
      <c r="A977" s="199"/>
      <c r="B977" s="199"/>
      <c r="C977" s="200"/>
      <c r="D977" s="201"/>
      <c r="E977" s="201"/>
      <c r="F977" s="199"/>
      <c r="K977" s="199"/>
    </row>
    <row r="978" spans="1:11" ht="12.75">
      <c r="A978" s="199"/>
      <c r="B978" s="199"/>
      <c r="C978" s="200"/>
      <c r="D978" s="201"/>
      <c r="E978" s="201"/>
      <c r="F978" s="199"/>
      <c r="K978" s="199"/>
    </row>
    <row r="979" spans="1:11" ht="12.75">
      <c r="A979" s="199"/>
      <c r="B979" s="199"/>
      <c r="C979" s="200"/>
      <c r="D979" s="201"/>
      <c r="E979" s="201"/>
      <c r="F979" s="199"/>
      <c r="K979" s="199"/>
    </row>
    <row r="980" spans="1:11" ht="12.75">
      <c r="A980" s="199"/>
      <c r="B980" s="199"/>
      <c r="C980" s="200"/>
      <c r="D980" s="201"/>
      <c r="E980" s="201"/>
      <c r="F980" s="199"/>
      <c r="K980" s="199"/>
    </row>
    <row r="981" spans="1:11" ht="12.75">
      <c r="A981" s="199"/>
      <c r="B981" s="199"/>
      <c r="C981" s="200"/>
      <c r="D981" s="201"/>
      <c r="E981" s="201"/>
      <c r="F981" s="199"/>
      <c r="K981" s="199"/>
    </row>
    <row r="982" spans="1:11" ht="12.75">
      <c r="A982" s="199"/>
      <c r="B982" s="199"/>
      <c r="C982" s="200"/>
      <c r="D982" s="201"/>
      <c r="E982" s="201"/>
      <c r="F982" s="199"/>
      <c r="K982" s="199"/>
    </row>
    <row r="983" spans="1:11" ht="12.75">
      <c r="A983" s="199"/>
      <c r="B983" s="199"/>
      <c r="C983" s="200"/>
      <c r="D983" s="201"/>
      <c r="E983" s="201"/>
      <c r="F983" s="199"/>
      <c r="K983" s="199"/>
    </row>
    <row r="984" spans="1:11" ht="12.75">
      <c r="A984" s="199"/>
      <c r="B984" s="199"/>
      <c r="C984" s="200"/>
      <c r="D984" s="201"/>
      <c r="E984" s="201"/>
      <c r="F984" s="199"/>
      <c r="K984" s="199"/>
    </row>
    <row r="985" spans="1:11" ht="12.75">
      <c r="A985" s="199"/>
      <c r="B985" s="199"/>
      <c r="C985" s="200"/>
      <c r="D985" s="201"/>
      <c r="E985" s="201"/>
      <c r="F985" s="199"/>
      <c r="K985" s="199"/>
    </row>
    <row r="986" spans="1:11" ht="12.75">
      <c r="A986" s="199"/>
      <c r="B986" s="199"/>
      <c r="C986" s="200"/>
      <c r="D986" s="201"/>
      <c r="E986" s="201"/>
      <c r="F986" s="199"/>
      <c r="K986" s="199"/>
    </row>
    <row r="987" spans="1:11" ht="12.75">
      <c r="A987" s="199"/>
      <c r="B987" s="199"/>
      <c r="C987" s="200"/>
      <c r="D987" s="201"/>
      <c r="E987" s="201"/>
      <c r="F987" s="199"/>
      <c r="K987" s="199"/>
    </row>
    <row r="988" spans="1:11" ht="12.75">
      <c r="A988" s="199"/>
      <c r="B988" s="199"/>
      <c r="C988" s="200"/>
      <c r="D988" s="201"/>
      <c r="E988" s="201"/>
      <c r="F988" s="199"/>
      <c r="K988" s="199"/>
    </row>
    <row r="989" spans="1:11" ht="12.75">
      <c r="A989" s="199"/>
      <c r="B989" s="199"/>
      <c r="C989" s="200"/>
      <c r="D989" s="201"/>
      <c r="E989" s="201"/>
      <c r="F989" s="199"/>
      <c r="K989" s="199"/>
    </row>
    <row r="990" spans="1:11" ht="12.75">
      <c r="A990" s="199"/>
      <c r="B990" s="199"/>
      <c r="C990" s="200"/>
      <c r="D990" s="201"/>
      <c r="E990" s="201"/>
      <c r="F990" s="199"/>
      <c r="K990" s="199"/>
    </row>
    <row r="991" spans="1:11" ht="12.75">
      <c r="A991" s="199"/>
      <c r="B991" s="199"/>
      <c r="C991" s="200"/>
      <c r="D991" s="201"/>
      <c r="E991" s="201"/>
      <c r="F991" s="199"/>
      <c r="K991" s="199"/>
    </row>
    <row r="992" spans="1:11" ht="12.75">
      <c r="A992" s="199"/>
      <c r="B992" s="199"/>
      <c r="C992" s="200"/>
      <c r="D992" s="201"/>
      <c r="E992" s="201"/>
      <c r="F992" s="199"/>
      <c r="K992" s="199"/>
    </row>
    <row r="993" spans="1:11" ht="12.75">
      <c r="A993" s="199"/>
      <c r="B993" s="199"/>
      <c r="C993" s="200"/>
      <c r="D993" s="201"/>
      <c r="E993" s="201"/>
      <c r="F993" s="199"/>
      <c r="K993" s="199"/>
    </row>
    <row r="994" spans="1:11" ht="12.75">
      <c r="A994" s="199"/>
      <c r="B994" s="199"/>
      <c r="C994" s="200"/>
      <c r="D994" s="201"/>
      <c r="E994" s="201"/>
      <c r="F994" s="199"/>
      <c r="K994" s="199"/>
    </row>
    <row r="995" spans="1:11" ht="12.75">
      <c r="A995" s="199"/>
      <c r="B995" s="199"/>
      <c r="C995" s="200"/>
      <c r="D995" s="201"/>
      <c r="E995" s="201"/>
      <c r="F995" s="199"/>
      <c r="K995" s="199"/>
    </row>
    <row r="996" spans="1:11" ht="12.75">
      <c r="A996" s="199"/>
      <c r="B996" s="199"/>
      <c r="C996" s="200"/>
      <c r="D996" s="201"/>
      <c r="E996" s="201"/>
      <c r="F996" s="199"/>
      <c r="K996" s="199"/>
    </row>
    <row r="997" spans="1:11" ht="12.75">
      <c r="A997" s="199"/>
      <c r="B997" s="199"/>
      <c r="C997" s="200"/>
      <c r="D997" s="201"/>
      <c r="E997" s="201"/>
      <c r="F997" s="199"/>
      <c r="K997" s="199"/>
    </row>
    <row r="998" spans="1:11" ht="12.75">
      <c r="A998" s="199"/>
      <c r="B998" s="199"/>
      <c r="C998" s="200"/>
      <c r="D998" s="201"/>
      <c r="E998" s="201"/>
      <c r="F998" s="199"/>
      <c r="K998" s="199"/>
    </row>
    <row r="999" spans="1:11" ht="12.75">
      <c r="A999" s="199"/>
      <c r="B999" s="199"/>
      <c r="C999" s="200"/>
      <c r="D999" s="201"/>
      <c r="E999" s="201"/>
      <c r="F999" s="199"/>
      <c r="K999" s="199"/>
    </row>
    <row r="1000" spans="1:11" ht="12.75">
      <c r="A1000" s="199"/>
      <c r="B1000" s="199"/>
      <c r="C1000" s="200"/>
      <c r="D1000" s="201"/>
      <c r="E1000" s="201"/>
      <c r="F1000" s="199"/>
      <c r="K1000" s="199"/>
    </row>
    <row r="1001" spans="1:11" ht="12.75">
      <c r="A1001" s="199"/>
      <c r="B1001" s="199"/>
      <c r="C1001" s="200"/>
      <c r="D1001" s="201"/>
      <c r="E1001" s="201"/>
      <c r="F1001" s="199"/>
      <c r="K1001" s="199"/>
    </row>
    <row r="1002" spans="1:11" ht="12.75">
      <c r="A1002" s="199"/>
      <c r="B1002" s="199"/>
      <c r="C1002" s="200"/>
      <c r="D1002" s="201"/>
      <c r="E1002" s="201"/>
      <c r="F1002" s="199"/>
      <c r="K1002" s="199"/>
    </row>
    <row r="1003" spans="1:11" ht="12.75">
      <c r="A1003" s="199"/>
      <c r="B1003" s="199"/>
      <c r="C1003" s="200"/>
      <c r="D1003" s="201"/>
      <c r="E1003" s="201"/>
      <c r="F1003" s="199"/>
      <c r="K1003" s="199"/>
    </row>
    <row r="1004" spans="1:11" ht="12.75">
      <c r="A1004" s="199"/>
      <c r="B1004" s="199"/>
      <c r="C1004" s="200"/>
      <c r="D1004" s="201"/>
      <c r="E1004" s="201"/>
      <c r="F1004" s="199"/>
      <c r="K1004" s="199"/>
    </row>
    <row r="1005" spans="1:11" ht="12.75">
      <c r="A1005" s="199"/>
      <c r="B1005" s="199"/>
      <c r="C1005" s="200"/>
      <c r="D1005" s="201"/>
      <c r="E1005" s="201"/>
      <c r="F1005" s="199"/>
      <c r="K1005" s="199"/>
    </row>
    <row r="1006" spans="1:11" ht="12.75">
      <c r="A1006" s="199"/>
      <c r="B1006" s="199"/>
      <c r="C1006" s="200"/>
      <c r="D1006" s="201"/>
      <c r="E1006" s="201"/>
      <c r="F1006" s="199"/>
      <c r="K1006" s="199"/>
    </row>
    <row r="1007" spans="1:11" ht="12.75">
      <c r="A1007" s="199"/>
      <c r="B1007" s="199"/>
      <c r="C1007" s="200"/>
      <c r="D1007" s="201"/>
      <c r="E1007" s="201"/>
      <c r="F1007" s="199"/>
      <c r="K1007" s="199"/>
    </row>
    <row r="1008" spans="1:11" ht="12.75">
      <c r="A1008" s="199"/>
      <c r="B1008" s="199"/>
      <c r="C1008" s="200"/>
      <c r="D1008" s="201"/>
      <c r="E1008" s="201"/>
      <c r="F1008" s="199"/>
      <c r="K1008" s="199"/>
    </row>
    <row r="1009" spans="1:11" ht="12.75">
      <c r="A1009" s="199"/>
      <c r="B1009" s="199"/>
      <c r="C1009" s="200"/>
      <c r="D1009" s="201"/>
      <c r="E1009" s="201"/>
      <c r="F1009" s="199"/>
      <c r="K1009" s="199"/>
    </row>
    <row r="1010" spans="1:11" ht="12.75">
      <c r="A1010" s="199"/>
      <c r="B1010" s="199"/>
      <c r="C1010" s="200"/>
      <c r="D1010" s="201"/>
      <c r="E1010" s="201"/>
      <c r="F1010" s="199"/>
      <c r="K1010" s="199"/>
    </row>
    <row r="1011" spans="1:11" ht="12.75">
      <c r="A1011" s="199"/>
      <c r="B1011" s="199"/>
      <c r="C1011" s="200"/>
      <c r="D1011" s="201"/>
      <c r="E1011" s="201"/>
      <c r="F1011" s="199"/>
      <c r="K1011" s="199"/>
    </row>
    <row r="1012" spans="1:11" ht="12.75">
      <c r="A1012" s="199"/>
      <c r="B1012" s="199"/>
      <c r="C1012" s="200"/>
      <c r="D1012" s="201"/>
      <c r="E1012" s="201"/>
      <c r="F1012" s="199"/>
      <c r="K1012" s="199"/>
    </row>
    <row r="1013" spans="1:11" ht="12.75">
      <c r="A1013" s="199"/>
      <c r="B1013" s="199"/>
      <c r="C1013" s="200"/>
      <c r="D1013" s="201"/>
      <c r="E1013" s="201"/>
      <c r="F1013" s="199"/>
      <c r="K1013" s="199"/>
    </row>
    <row r="1014" spans="1:11" ht="12.75">
      <c r="A1014" s="199"/>
      <c r="B1014" s="199"/>
      <c r="C1014" s="200"/>
      <c r="D1014" s="201"/>
      <c r="E1014" s="201"/>
      <c r="F1014" s="199"/>
      <c r="K1014" s="199"/>
    </row>
    <row r="1015" spans="1:11" ht="12.75">
      <c r="A1015" s="199"/>
      <c r="B1015" s="199"/>
      <c r="C1015" s="200"/>
      <c r="D1015" s="201"/>
      <c r="E1015" s="201"/>
      <c r="F1015" s="199"/>
      <c r="K1015" s="199"/>
    </row>
    <row r="1016" spans="1:11" ht="12.75">
      <c r="A1016" s="199"/>
      <c r="B1016" s="199"/>
      <c r="C1016" s="200"/>
      <c r="D1016" s="201"/>
      <c r="E1016" s="201"/>
      <c r="F1016" s="199"/>
      <c r="K1016" s="199"/>
    </row>
    <row r="1017" spans="1:11" ht="12.75">
      <c r="A1017" s="199"/>
      <c r="B1017" s="199"/>
      <c r="C1017" s="200"/>
      <c r="D1017" s="201"/>
      <c r="E1017" s="201"/>
      <c r="F1017" s="199"/>
      <c r="K1017" s="199"/>
    </row>
    <row r="1018" spans="1:11" ht="12.75">
      <c r="A1018" s="199"/>
      <c r="B1018" s="199"/>
      <c r="C1018" s="200"/>
      <c r="D1018" s="201"/>
      <c r="E1018" s="201"/>
      <c r="F1018" s="199"/>
      <c r="K1018" s="199"/>
    </row>
    <row r="1019" spans="1:11" ht="12.75">
      <c r="A1019" s="199"/>
      <c r="B1019" s="199"/>
      <c r="C1019" s="200"/>
      <c r="D1019" s="201"/>
      <c r="E1019" s="201"/>
      <c r="F1019" s="199"/>
      <c r="K1019" s="199"/>
    </row>
    <row r="1020" spans="1:11" ht="12.75">
      <c r="A1020" s="199"/>
      <c r="B1020" s="199"/>
      <c r="C1020" s="200"/>
      <c r="D1020" s="201"/>
      <c r="E1020" s="201"/>
      <c r="F1020" s="199"/>
      <c r="K1020" s="199"/>
    </row>
    <row r="1021" spans="1:11" ht="12.75">
      <c r="A1021" s="199"/>
      <c r="B1021" s="199"/>
      <c r="C1021" s="200"/>
      <c r="D1021" s="201"/>
      <c r="E1021" s="201"/>
      <c r="F1021" s="199"/>
      <c r="K1021" s="199"/>
    </row>
    <row r="1022" spans="1:11" ht="12.75">
      <c r="A1022" s="199"/>
      <c r="B1022" s="199"/>
      <c r="C1022" s="200"/>
      <c r="D1022" s="201"/>
      <c r="E1022" s="201"/>
      <c r="F1022" s="199"/>
      <c r="K1022" s="199"/>
    </row>
    <row r="1023" spans="1:11" ht="12.75">
      <c r="A1023" s="199"/>
      <c r="B1023" s="199"/>
      <c r="C1023" s="200"/>
      <c r="D1023" s="201"/>
      <c r="E1023" s="201"/>
      <c r="F1023" s="199"/>
      <c r="K1023" s="199"/>
    </row>
    <row r="1024" spans="1:11" ht="12.75">
      <c r="A1024" s="199"/>
      <c r="B1024" s="199"/>
      <c r="C1024" s="200"/>
      <c r="D1024" s="201"/>
      <c r="E1024" s="201"/>
      <c r="F1024" s="199"/>
      <c r="K1024" s="199"/>
    </row>
    <row r="1025" spans="1:11" ht="12.75">
      <c r="A1025" s="199"/>
      <c r="B1025" s="199"/>
      <c r="C1025" s="200"/>
      <c r="D1025" s="201"/>
      <c r="E1025" s="201"/>
      <c r="F1025" s="199"/>
      <c r="K1025" s="199"/>
    </row>
    <row r="1026" spans="1:11" ht="12.75">
      <c r="A1026" s="199"/>
      <c r="B1026" s="199"/>
      <c r="C1026" s="200"/>
      <c r="D1026" s="201"/>
      <c r="E1026" s="201"/>
      <c r="F1026" s="199"/>
      <c r="K1026" s="199"/>
    </row>
    <row r="1027" spans="1:11" ht="12.75">
      <c r="A1027" s="199"/>
      <c r="B1027" s="199"/>
      <c r="C1027" s="200"/>
      <c r="D1027" s="201"/>
      <c r="E1027" s="201"/>
      <c r="F1027" s="199"/>
      <c r="K1027" s="199"/>
    </row>
    <row r="1028" spans="1:11" ht="12.75">
      <c r="A1028" s="199"/>
      <c r="B1028" s="199"/>
      <c r="C1028" s="200"/>
      <c r="D1028" s="201"/>
      <c r="E1028" s="201"/>
      <c r="F1028" s="199"/>
      <c r="K1028" s="199"/>
    </row>
    <row r="1029" spans="1:11" ht="12.75">
      <c r="A1029" s="199"/>
      <c r="B1029" s="199"/>
      <c r="C1029" s="200"/>
      <c r="D1029" s="201"/>
      <c r="E1029" s="201"/>
      <c r="F1029" s="199"/>
      <c r="K1029" s="199"/>
    </row>
    <row r="1030" spans="1:11" ht="12.75">
      <c r="A1030" s="199"/>
      <c r="B1030" s="199"/>
      <c r="C1030" s="200"/>
      <c r="D1030" s="201"/>
      <c r="E1030" s="201"/>
      <c r="F1030" s="199"/>
      <c r="K1030" s="199"/>
    </row>
    <row r="1031" spans="1:11" ht="12.75">
      <c r="A1031" s="199"/>
      <c r="B1031" s="199"/>
      <c r="C1031" s="200"/>
      <c r="D1031" s="201"/>
      <c r="E1031" s="201"/>
      <c r="F1031" s="199"/>
      <c r="K1031" s="199"/>
    </row>
    <row r="1032" spans="1:11" ht="12.75">
      <c r="A1032" s="199"/>
      <c r="B1032" s="199"/>
      <c r="C1032" s="200"/>
      <c r="D1032" s="201"/>
      <c r="E1032" s="201"/>
      <c r="F1032" s="199"/>
      <c r="K1032" s="199"/>
    </row>
    <row r="1033" spans="1:11" ht="12.75">
      <c r="A1033" s="199"/>
      <c r="B1033" s="199"/>
      <c r="C1033" s="200"/>
      <c r="D1033" s="201"/>
      <c r="E1033" s="201"/>
      <c r="F1033" s="199"/>
      <c r="K1033" s="199"/>
    </row>
    <row r="1034" spans="1:11" ht="12.75">
      <c r="A1034" s="199"/>
      <c r="B1034" s="199"/>
      <c r="C1034" s="200"/>
      <c r="D1034" s="201"/>
      <c r="E1034" s="201"/>
      <c r="F1034" s="199"/>
      <c r="K1034" s="199"/>
    </row>
    <row r="1035" spans="1:11" ht="12.75">
      <c r="A1035" s="199"/>
      <c r="B1035" s="199"/>
      <c r="C1035" s="200"/>
      <c r="D1035" s="201"/>
      <c r="E1035" s="201"/>
      <c r="F1035" s="199"/>
      <c r="K1035" s="199"/>
    </row>
    <row r="1036" spans="1:11" ht="12.75">
      <c r="A1036" s="199"/>
      <c r="B1036" s="199"/>
      <c r="C1036" s="200"/>
      <c r="D1036" s="201"/>
      <c r="E1036" s="201"/>
      <c r="F1036" s="199"/>
      <c r="K1036" s="199"/>
    </row>
    <row r="1037" spans="1:11" ht="12.75">
      <c r="A1037" s="199"/>
      <c r="B1037" s="199"/>
      <c r="C1037" s="200"/>
      <c r="D1037" s="201"/>
      <c r="E1037" s="201"/>
      <c r="F1037" s="199"/>
      <c r="K1037" s="199"/>
    </row>
    <row r="1038" spans="1:11" ht="12.75">
      <c r="A1038" s="199"/>
      <c r="B1038" s="199"/>
      <c r="C1038" s="200"/>
      <c r="D1038" s="201"/>
      <c r="E1038" s="201"/>
      <c r="F1038" s="199"/>
      <c r="K1038" s="199"/>
    </row>
    <row r="1039" spans="1:11" ht="12.75">
      <c r="A1039" s="199"/>
      <c r="B1039" s="199"/>
      <c r="C1039" s="200"/>
      <c r="D1039" s="201"/>
      <c r="E1039" s="201"/>
      <c r="F1039" s="199"/>
      <c r="K1039" s="199"/>
    </row>
    <row r="1040" spans="1:11" ht="12.75">
      <c r="A1040" s="199"/>
      <c r="B1040" s="199"/>
      <c r="C1040" s="200"/>
      <c r="D1040" s="201"/>
      <c r="E1040" s="201"/>
      <c r="F1040" s="199"/>
      <c r="K1040" s="199"/>
    </row>
    <row r="1041" spans="1:11" ht="12.75">
      <c r="A1041" s="199"/>
      <c r="B1041" s="199"/>
      <c r="C1041" s="200"/>
      <c r="D1041" s="201"/>
      <c r="E1041" s="201"/>
      <c r="F1041" s="199"/>
      <c r="K1041" s="199"/>
    </row>
    <row r="1042" spans="1:11" ht="12.75">
      <c r="A1042" s="199"/>
      <c r="B1042" s="199"/>
      <c r="C1042" s="200"/>
      <c r="D1042" s="201"/>
      <c r="E1042" s="201"/>
      <c r="F1042" s="199"/>
      <c r="K1042" s="199"/>
    </row>
    <row r="1043" spans="1:11" ht="12.75">
      <c r="A1043" s="199"/>
      <c r="B1043" s="199"/>
      <c r="C1043" s="200"/>
      <c r="D1043" s="201"/>
      <c r="E1043" s="201"/>
      <c r="F1043" s="199"/>
      <c r="K1043" s="199"/>
    </row>
    <row r="1044" spans="1:11" ht="12.75">
      <c r="A1044" s="199"/>
      <c r="B1044" s="199"/>
      <c r="C1044" s="200"/>
      <c r="D1044" s="201"/>
      <c r="E1044" s="201"/>
      <c r="F1044" s="199"/>
      <c r="K1044" s="199"/>
    </row>
    <row r="1045" spans="1:11" ht="12.75">
      <c r="A1045" s="199"/>
      <c r="B1045" s="199"/>
      <c r="C1045" s="200"/>
      <c r="D1045" s="201"/>
      <c r="E1045" s="201"/>
      <c r="F1045" s="199"/>
      <c r="K1045" s="199"/>
    </row>
    <row r="1046" spans="1:11" ht="12.75">
      <c r="A1046" s="199"/>
      <c r="B1046" s="199"/>
      <c r="C1046" s="200"/>
      <c r="D1046" s="201"/>
      <c r="E1046" s="201"/>
      <c r="F1046" s="199"/>
      <c r="K1046" s="199"/>
    </row>
    <row r="1047" spans="1:11" ht="12.75">
      <c r="A1047" s="199"/>
      <c r="B1047" s="199"/>
      <c r="C1047" s="200"/>
      <c r="D1047" s="201"/>
      <c r="E1047" s="201"/>
      <c r="F1047" s="199"/>
      <c r="K1047" s="199"/>
    </row>
    <row r="1048" spans="1:11" ht="12.75">
      <c r="A1048" s="199"/>
      <c r="B1048" s="199"/>
      <c r="C1048" s="200"/>
      <c r="D1048" s="201"/>
      <c r="E1048" s="201"/>
      <c r="F1048" s="199"/>
      <c r="K1048" s="199"/>
    </row>
    <row r="1049" spans="1:11" ht="12.75">
      <c r="A1049" s="199"/>
      <c r="B1049" s="199"/>
      <c r="C1049" s="200"/>
      <c r="D1049" s="201"/>
      <c r="E1049" s="201"/>
      <c r="F1049" s="199"/>
      <c r="K1049" s="199"/>
    </row>
    <row r="1050" spans="1:11" ht="12.75">
      <c r="A1050" s="199"/>
      <c r="B1050" s="199"/>
      <c r="C1050" s="200"/>
      <c r="D1050" s="201"/>
      <c r="E1050" s="201"/>
      <c r="F1050" s="199"/>
      <c r="K1050" s="199"/>
    </row>
    <row r="1051" spans="1:11" ht="12.75">
      <c r="A1051" s="199"/>
      <c r="B1051" s="199"/>
      <c r="C1051" s="200"/>
      <c r="D1051" s="201"/>
      <c r="E1051" s="201"/>
      <c r="F1051" s="199"/>
      <c r="K1051" s="199"/>
    </row>
    <row r="1052" spans="1:11" ht="12.75">
      <c r="A1052" s="199"/>
      <c r="B1052" s="199"/>
      <c r="C1052" s="200"/>
      <c r="D1052" s="201"/>
      <c r="E1052" s="201"/>
      <c r="F1052" s="199"/>
      <c r="K1052" s="199"/>
    </row>
    <row r="1053" spans="1:11" ht="12.75">
      <c r="A1053" s="199"/>
      <c r="B1053" s="199"/>
      <c r="C1053" s="200"/>
      <c r="D1053" s="201"/>
      <c r="E1053" s="201"/>
      <c r="F1053" s="199"/>
      <c r="K1053" s="199"/>
    </row>
    <row r="1054" spans="1:11" ht="12.75">
      <c r="A1054" s="199"/>
      <c r="B1054" s="199"/>
      <c r="C1054" s="200"/>
      <c r="D1054" s="201"/>
      <c r="E1054" s="201"/>
      <c r="F1054" s="199"/>
      <c r="K1054" s="199"/>
    </row>
    <row r="1055" spans="1:11" ht="12.75">
      <c r="A1055" s="199"/>
      <c r="B1055" s="199"/>
      <c r="C1055" s="200"/>
      <c r="D1055" s="201"/>
      <c r="E1055" s="201"/>
      <c r="F1055" s="199"/>
      <c r="K1055" s="199"/>
    </row>
    <row r="1056" spans="1:11" ht="12.75">
      <c r="A1056" s="199"/>
      <c r="B1056" s="199"/>
      <c r="C1056" s="200"/>
      <c r="D1056" s="201"/>
      <c r="E1056" s="201"/>
      <c r="F1056" s="199"/>
      <c r="K1056" s="199"/>
    </row>
    <row r="1057" spans="1:11" ht="12.75">
      <c r="A1057" s="199"/>
      <c r="B1057" s="199"/>
      <c r="C1057" s="200"/>
      <c r="D1057" s="201"/>
      <c r="E1057" s="201"/>
      <c r="F1057" s="199"/>
      <c r="K1057" s="199"/>
    </row>
    <row r="1058" spans="1:11" ht="12.75">
      <c r="A1058" s="199"/>
      <c r="B1058" s="199"/>
      <c r="C1058" s="200"/>
      <c r="D1058" s="201"/>
      <c r="E1058" s="201"/>
      <c r="F1058" s="199"/>
      <c r="K1058" s="199"/>
    </row>
    <row r="1059" spans="1:11" ht="12.75">
      <c r="A1059" s="199"/>
      <c r="B1059" s="199"/>
      <c r="C1059" s="200"/>
      <c r="D1059" s="201"/>
      <c r="E1059" s="201"/>
      <c r="F1059" s="199"/>
      <c r="K1059" s="199"/>
    </row>
    <row r="1060" spans="1:11" ht="12.75">
      <c r="A1060" s="199"/>
      <c r="B1060" s="199"/>
      <c r="C1060" s="200"/>
      <c r="D1060" s="201"/>
      <c r="E1060" s="201"/>
      <c r="F1060" s="199"/>
      <c r="K1060" s="199"/>
    </row>
    <row r="1061" spans="1:11" ht="12.75">
      <c r="A1061" s="199"/>
      <c r="B1061" s="199"/>
      <c r="C1061" s="200"/>
      <c r="D1061" s="201"/>
      <c r="E1061" s="201"/>
      <c r="F1061" s="199"/>
      <c r="K1061" s="199"/>
    </row>
    <row r="1062" spans="1:11" ht="12.75">
      <c r="A1062" s="199"/>
      <c r="B1062" s="199"/>
      <c r="C1062" s="200"/>
      <c r="D1062" s="201"/>
      <c r="E1062" s="201"/>
      <c r="F1062" s="199"/>
      <c r="K1062" s="199"/>
    </row>
    <row r="1063" spans="1:11" ht="12.75">
      <c r="A1063" s="199"/>
      <c r="B1063" s="199"/>
      <c r="C1063" s="200"/>
      <c r="D1063" s="201"/>
      <c r="E1063" s="201"/>
      <c r="F1063" s="199"/>
      <c r="K1063" s="199"/>
    </row>
    <row r="1064" spans="1:11" ht="12.75">
      <c r="A1064" s="199"/>
      <c r="B1064" s="199"/>
      <c r="C1064" s="200"/>
      <c r="D1064" s="201"/>
      <c r="E1064" s="201"/>
      <c r="F1064" s="199"/>
      <c r="K1064" s="199"/>
    </row>
    <row r="1065" spans="1:11" ht="12.75">
      <c r="A1065" s="199"/>
      <c r="B1065" s="199"/>
      <c r="C1065" s="200"/>
      <c r="D1065" s="201"/>
      <c r="E1065" s="201"/>
      <c r="F1065" s="199"/>
      <c r="K1065" s="199"/>
    </row>
    <row r="1066" spans="1:11" ht="12.75">
      <c r="A1066" s="199"/>
      <c r="B1066" s="199"/>
      <c r="C1066" s="200"/>
      <c r="D1066" s="201"/>
      <c r="E1066" s="201"/>
      <c r="F1066" s="199"/>
      <c r="K1066" s="199"/>
    </row>
    <row r="1067" spans="1:11" ht="12.75">
      <c r="A1067" s="199"/>
      <c r="B1067" s="199"/>
      <c r="C1067" s="200"/>
      <c r="D1067" s="201"/>
      <c r="E1067" s="201"/>
      <c r="F1067" s="199"/>
      <c r="K1067" s="199"/>
    </row>
    <row r="1068" spans="1:11" ht="12.75">
      <c r="A1068" s="199"/>
      <c r="B1068" s="199"/>
      <c r="C1068" s="200"/>
      <c r="D1068" s="201"/>
      <c r="E1068" s="201"/>
      <c r="F1068" s="199"/>
      <c r="K1068" s="199"/>
    </row>
    <row r="1069" spans="1:11" ht="12.75">
      <c r="A1069" s="199"/>
      <c r="B1069" s="199"/>
      <c r="C1069" s="200"/>
      <c r="D1069" s="201"/>
      <c r="E1069" s="201"/>
      <c r="F1069" s="199"/>
      <c r="K1069" s="199"/>
    </row>
    <row r="1070" spans="1:11" ht="12.75">
      <c r="A1070" s="199"/>
      <c r="B1070" s="199"/>
      <c r="C1070" s="200"/>
      <c r="D1070" s="201"/>
      <c r="E1070" s="201"/>
      <c r="F1070" s="199"/>
      <c r="K1070" s="199"/>
    </row>
    <row r="1071" spans="1:11" ht="12.75">
      <c r="A1071" s="199"/>
      <c r="B1071" s="199"/>
      <c r="C1071" s="200"/>
      <c r="D1071" s="201"/>
      <c r="E1071" s="201"/>
      <c r="F1071" s="199"/>
      <c r="K1071" s="199"/>
    </row>
    <row r="1072" spans="1:11" ht="12.75">
      <c r="A1072" s="199"/>
      <c r="B1072" s="199"/>
      <c r="C1072" s="200"/>
      <c r="D1072" s="201"/>
      <c r="E1072" s="201"/>
      <c r="F1072" s="199"/>
      <c r="K1072" s="199"/>
    </row>
    <row r="1073" spans="1:11" ht="12.75">
      <c r="A1073" s="199"/>
      <c r="B1073" s="199"/>
      <c r="C1073" s="200"/>
      <c r="D1073" s="201"/>
      <c r="E1073" s="201"/>
      <c r="F1073" s="199"/>
      <c r="K1073" s="199"/>
    </row>
    <row r="1074" spans="1:11" ht="12.75">
      <c r="A1074" s="199"/>
      <c r="B1074" s="199"/>
      <c r="C1074" s="200"/>
      <c r="D1074" s="201"/>
      <c r="E1074" s="201"/>
      <c r="F1074" s="199"/>
      <c r="K1074" s="199"/>
    </row>
    <row r="1075" spans="1:11" ht="12.75">
      <c r="A1075" s="199"/>
      <c r="B1075" s="199"/>
      <c r="C1075" s="200"/>
      <c r="D1075" s="201"/>
      <c r="E1075" s="201"/>
      <c r="F1075" s="199"/>
      <c r="K1075" s="199"/>
    </row>
    <row r="1076" spans="1:11" ht="12.75">
      <c r="A1076" s="199"/>
      <c r="B1076" s="199"/>
      <c r="C1076" s="200"/>
      <c r="D1076" s="201"/>
      <c r="E1076" s="201"/>
      <c r="F1076" s="199"/>
      <c r="K1076" s="199"/>
    </row>
    <row r="1077" spans="1:11" ht="12.75">
      <c r="A1077" s="199"/>
      <c r="B1077" s="199"/>
      <c r="C1077" s="200"/>
      <c r="D1077" s="201"/>
      <c r="E1077" s="201"/>
      <c r="F1077" s="199"/>
      <c r="K1077" s="199"/>
    </row>
    <row r="1078" spans="1:11" ht="12.75">
      <c r="A1078" s="199"/>
      <c r="B1078" s="199"/>
      <c r="C1078" s="200"/>
      <c r="D1078" s="201"/>
      <c r="E1078" s="201"/>
      <c r="F1078" s="199"/>
      <c r="K1078" s="199"/>
    </row>
    <row r="1079" spans="1:11" ht="12.75">
      <c r="A1079" s="199"/>
      <c r="B1079" s="199"/>
      <c r="C1079" s="200"/>
      <c r="D1079" s="201"/>
      <c r="E1079" s="201"/>
      <c r="F1079" s="199"/>
      <c r="K1079" s="199"/>
    </row>
    <row r="1080" spans="1:11" ht="12.75">
      <c r="A1080" s="199"/>
      <c r="B1080" s="199"/>
      <c r="C1080" s="200"/>
      <c r="D1080" s="201"/>
      <c r="E1080" s="201"/>
      <c r="F1080" s="199"/>
      <c r="K1080" s="199"/>
    </row>
    <row r="1081" spans="1:11" ht="12.75">
      <c r="A1081" s="199"/>
      <c r="B1081" s="199"/>
      <c r="C1081" s="200"/>
      <c r="D1081" s="201"/>
      <c r="E1081" s="201"/>
      <c r="F1081" s="199"/>
      <c r="K1081" s="199"/>
    </row>
    <row r="1082" spans="1:11" ht="12.75">
      <c r="A1082" s="199"/>
      <c r="B1082" s="199"/>
      <c r="C1082" s="200"/>
      <c r="D1082" s="201"/>
      <c r="E1082" s="201"/>
      <c r="F1082" s="199"/>
      <c r="K1082" s="199"/>
    </row>
    <row r="1083" spans="1:11" ht="12.75">
      <c r="A1083" s="199"/>
      <c r="B1083" s="199"/>
      <c r="C1083" s="200"/>
      <c r="D1083" s="201"/>
      <c r="E1083" s="201"/>
      <c r="F1083" s="199"/>
      <c r="K1083" s="199"/>
    </row>
    <row r="1084" spans="1:11" ht="12.75">
      <c r="A1084" s="199"/>
      <c r="B1084" s="199"/>
      <c r="C1084" s="200"/>
      <c r="D1084" s="201"/>
      <c r="E1084" s="201"/>
      <c r="F1084" s="199"/>
      <c r="K1084" s="199"/>
    </row>
    <row r="1085" spans="1:11" ht="12.75">
      <c r="A1085" s="199"/>
      <c r="B1085" s="199"/>
      <c r="C1085" s="200"/>
      <c r="D1085" s="201"/>
      <c r="E1085" s="201"/>
      <c r="F1085" s="199"/>
      <c r="K1085" s="199"/>
    </row>
    <row r="1086" spans="1:11" ht="12.75">
      <c r="A1086" s="199"/>
      <c r="B1086" s="199"/>
      <c r="C1086" s="200"/>
      <c r="D1086" s="201"/>
      <c r="E1086" s="201"/>
      <c r="F1086" s="199"/>
      <c r="K1086" s="199"/>
    </row>
    <row r="1087" spans="1:11" ht="12.75">
      <c r="A1087" s="199"/>
      <c r="B1087" s="199"/>
      <c r="C1087" s="200"/>
      <c r="D1087" s="201"/>
      <c r="E1087" s="201"/>
      <c r="F1087" s="199"/>
      <c r="K1087" s="199"/>
    </row>
    <row r="1088" spans="1:11" ht="12.75">
      <c r="A1088" s="199"/>
      <c r="B1088" s="199"/>
      <c r="C1088" s="200"/>
      <c r="D1088" s="201"/>
      <c r="E1088" s="201"/>
      <c r="F1088" s="199"/>
      <c r="K1088" s="199"/>
    </row>
    <row r="1089" spans="1:11" ht="12.75">
      <c r="A1089" s="199"/>
      <c r="B1089" s="199"/>
      <c r="C1089" s="200"/>
      <c r="D1089" s="201"/>
      <c r="E1089" s="201"/>
      <c r="F1089" s="199"/>
      <c r="K1089" s="199"/>
    </row>
    <row r="1090" spans="1:11" ht="12.75">
      <c r="A1090" s="199"/>
      <c r="B1090" s="199"/>
      <c r="C1090" s="200"/>
      <c r="D1090" s="201"/>
      <c r="E1090" s="201"/>
      <c r="F1090" s="199"/>
      <c r="K1090" s="199"/>
    </row>
    <row r="1091" spans="1:11" ht="12.75">
      <c r="A1091" s="199"/>
      <c r="B1091" s="199"/>
      <c r="C1091" s="200"/>
      <c r="D1091" s="201"/>
      <c r="E1091" s="201"/>
      <c r="F1091" s="199"/>
      <c r="K1091" s="199"/>
    </row>
    <row r="1092" spans="1:11" ht="12.75">
      <c r="A1092" s="199"/>
      <c r="B1092" s="199"/>
      <c r="C1092" s="200"/>
      <c r="D1092" s="201"/>
      <c r="E1092" s="201"/>
      <c r="F1092" s="199"/>
      <c r="K1092" s="199"/>
    </row>
    <row r="1093" spans="1:11" ht="12.75">
      <c r="A1093" s="199"/>
      <c r="B1093" s="199"/>
      <c r="C1093" s="200"/>
      <c r="D1093" s="201"/>
      <c r="E1093" s="201"/>
      <c r="F1093" s="199"/>
      <c r="K1093" s="199"/>
    </row>
    <row r="1094" spans="1:11" ht="12.75">
      <c r="A1094" s="199"/>
      <c r="B1094" s="199"/>
      <c r="C1094" s="200"/>
      <c r="D1094" s="201"/>
      <c r="E1094" s="201"/>
      <c r="F1094" s="199"/>
      <c r="K1094" s="199"/>
    </row>
    <row r="1095" spans="1:11" ht="12.75">
      <c r="A1095" s="199"/>
      <c r="B1095" s="199"/>
      <c r="C1095" s="200"/>
      <c r="D1095" s="201"/>
      <c r="E1095" s="201"/>
      <c r="F1095" s="199"/>
      <c r="K1095" s="199"/>
    </row>
    <row r="1096" spans="1:11" ht="12.75">
      <c r="A1096" s="199"/>
      <c r="B1096" s="199"/>
      <c r="C1096" s="200"/>
      <c r="D1096" s="201"/>
      <c r="E1096" s="201"/>
      <c r="F1096" s="199"/>
      <c r="K1096" s="199"/>
    </row>
    <row r="1097" spans="1:11" ht="12.75">
      <c r="A1097" s="199"/>
      <c r="B1097" s="199"/>
      <c r="C1097" s="200"/>
      <c r="D1097" s="201"/>
      <c r="E1097" s="201"/>
      <c r="F1097" s="199"/>
      <c r="K1097" s="199"/>
    </row>
    <row r="1098" spans="1:11" ht="12.75">
      <c r="A1098" s="199"/>
      <c r="B1098" s="199"/>
      <c r="C1098" s="200"/>
      <c r="D1098" s="201"/>
      <c r="E1098" s="201"/>
      <c r="F1098" s="199"/>
      <c r="K1098" s="199"/>
    </row>
    <row r="1099" spans="1:11" ht="12.75">
      <c r="A1099" s="199"/>
      <c r="B1099" s="199"/>
      <c r="C1099" s="200"/>
      <c r="D1099" s="201"/>
      <c r="E1099" s="201"/>
      <c r="F1099" s="199"/>
      <c r="K1099" s="199"/>
    </row>
    <row r="1100" spans="1:11" ht="12.75">
      <c r="A1100" s="199"/>
      <c r="B1100" s="199"/>
      <c r="C1100" s="200"/>
      <c r="D1100" s="201"/>
      <c r="E1100" s="201"/>
      <c r="F1100" s="199"/>
      <c r="K1100" s="199"/>
    </row>
    <row r="1101" spans="1:11" ht="12.75">
      <c r="A1101" s="199"/>
      <c r="B1101" s="199"/>
      <c r="C1101" s="200"/>
      <c r="D1101" s="201"/>
      <c r="E1101" s="201"/>
      <c r="F1101" s="199"/>
      <c r="K1101" s="199"/>
    </row>
    <row r="1102" spans="1:11" ht="12.75">
      <c r="A1102" s="199"/>
      <c r="B1102" s="199"/>
      <c r="C1102" s="200"/>
      <c r="D1102" s="201"/>
      <c r="E1102" s="201"/>
      <c r="F1102" s="199"/>
      <c r="K1102" s="199"/>
    </row>
    <row r="1103" spans="1:11" ht="12.75">
      <c r="A1103" s="199"/>
      <c r="B1103" s="199"/>
      <c r="C1103" s="200"/>
      <c r="D1103" s="201"/>
      <c r="E1103" s="201"/>
      <c r="F1103" s="199"/>
      <c r="K1103" s="199"/>
    </row>
    <row r="1104" spans="1:11" ht="12.75">
      <c r="A1104" s="199"/>
      <c r="B1104" s="199"/>
      <c r="C1104" s="200"/>
      <c r="D1104" s="201"/>
      <c r="E1104" s="201"/>
      <c r="F1104" s="199"/>
      <c r="K1104" s="199"/>
    </row>
    <row r="1105" spans="1:11" ht="12.75">
      <c r="A1105" s="199"/>
      <c r="B1105" s="199"/>
      <c r="C1105" s="200"/>
      <c r="D1105" s="201"/>
      <c r="E1105" s="201"/>
      <c r="F1105" s="199"/>
      <c r="K1105" s="199"/>
    </row>
    <row r="1106" spans="1:11" ht="12.75">
      <c r="A1106" s="199"/>
      <c r="B1106" s="199"/>
      <c r="C1106" s="200"/>
      <c r="D1106" s="201"/>
      <c r="E1106" s="201"/>
      <c r="F1106" s="199"/>
      <c r="K1106" s="199"/>
    </row>
    <row r="1107" spans="1:11" ht="12.75">
      <c r="A1107" s="199"/>
      <c r="B1107" s="199"/>
      <c r="C1107" s="200"/>
      <c r="D1107" s="201"/>
      <c r="E1107" s="201"/>
      <c r="F1107" s="199"/>
      <c r="K1107" s="199"/>
    </row>
  </sheetData>
  <mergeCells count="2">
    <mergeCell ref="A2:E2"/>
    <mergeCell ref="A1:E1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60" workbookViewId="0" topLeftCell="A1">
      <selection activeCell="F1" sqref="F1:I1"/>
    </sheetView>
  </sheetViews>
  <sheetFormatPr defaultColWidth="8.875" defaultRowHeight="12.75"/>
  <cols>
    <col min="1" max="1" width="48.375" style="3" customWidth="1"/>
    <col min="2" max="2" width="10.75390625" style="3" customWidth="1"/>
    <col min="3" max="3" width="12.00390625" style="3" customWidth="1"/>
    <col min="4" max="4" width="11.875" style="3" customWidth="1"/>
    <col min="5" max="5" width="51.25390625" style="3" customWidth="1"/>
    <col min="6" max="6" width="6.25390625" style="3" customWidth="1"/>
    <col min="7" max="7" width="15.00390625" style="3" customWidth="1"/>
    <col min="8" max="8" width="13.625" style="3" customWidth="1"/>
    <col min="9" max="9" width="11.125" style="3" customWidth="1"/>
    <col min="10" max="16384" width="8.875" style="3" customWidth="1"/>
  </cols>
  <sheetData>
    <row r="1" spans="1:9" ht="51.75" customHeight="1">
      <c r="A1" s="245" t="s">
        <v>69</v>
      </c>
      <c r="B1" s="245" t="s">
        <v>69</v>
      </c>
      <c r="C1" s="245" t="s">
        <v>69</v>
      </c>
      <c r="D1" s="245" t="s">
        <v>69</v>
      </c>
      <c r="E1" s="245" t="s">
        <v>69</v>
      </c>
      <c r="F1" s="429" t="s">
        <v>1063</v>
      </c>
      <c r="G1" s="429"/>
      <c r="H1" s="429"/>
      <c r="I1" s="429"/>
    </row>
    <row r="2" spans="1:9" ht="46.9" customHeight="1">
      <c r="A2" s="245"/>
      <c r="B2" s="245"/>
      <c r="C2" s="245"/>
      <c r="D2" s="245"/>
      <c r="E2" s="245"/>
      <c r="F2" s="245"/>
      <c r="G2" s="245"/>
      <c r="H2" s="245"/>
      <c r="I2" s="245"/>
    </row>
    <row r="3" spans="1:9" ht="49.9" customHeight="1">
      <c r="A3" s="430" t="s">
        <v>475</v>
      </c>
      <c r="B3" s="430"/>
      <c r="C3" s="430"/>
      <c r="D3" s="430"/>
      <c r="E3" s="430"/>
      <c r="F3" s="430"/>
      <c r="G3" s="430"/>
      <c r="H3" s="430"/>
      <c r="I3" s="430"/>
    </row>
    <row r="4" spans="1:9" ht="63.6" customHeight="1">
      <c r="A4" s="431" t="s">
        <v>437</v>
      </c>
      <c r="B4" s="431" t="s">
        <v>438</v>
      </c>
      <c r="C4" s="431"/>
      <c r="D4" s="431"/>
      <c r="E4" s="431"/>
      <c r="F4" s="431" t="s">
        <v>439</v>
      </c>
      <c r="G4" s="431"/>
      <c r="H4" s="432" t="s">
        <v>457</v>
      </c>
      <c r="I4" s="432" t="s">
        <v>458</v>
      </c>
    </row>
    <row r="5" spans="1:9" ht="41.65" customHeight="1">
      <c r="A5" s="431" t="s">
        <v>437</v>
      </c>
      <c r="B5" s="248" t="s">
        <v>440</v>
      </c>
      <c r="C5" s="248" t="s">
        <v>441</v>
      </c>
      <c r="D5" s="248" t="s">
        <v>442</v>
      </c>
      <c r="E5" s="248" t="s">
        <v>443</v>
      </c>
      <c r="F5" s="248" t="s">
        <v>38</v>
      </c>
      <c r="G5" s="248" t="s">
        <v>444</v>
      </c>
      <c r="H5" s="432"/>
      <c r="I5" s="432"/>
    </row>
    <row r="6" spans="1:9" ht="23.25" customHeight="1">
      <c r="A6" s="248" t="s">
        <v>4</v>
      </c>
      <c r="B6" s="248" t="s">
        <v>80</v>
      </c>
      <c r="C6" s="248" t="s">
        <v>81</v>
      </c>
      <c r="D6" s="248" t="s">
        <v>82</v>
      </c>
      <c r="E6" s="248" t="s">
        <v>83</v>
      </c>
      <c r="F6" s="248" t="s">
        <v>84</v>
      </c>
      <c r="G6" s="248" t="s">
        <v>94</v>
      </c>
      <c r="H6" s="248">
        <v>8</v>
      </c>
      <c r="I6" s="248">
        <v>9</v>
      </c>
    </row>
    <row r="7" spans="1:9" ht="54.6" customHeight="1">
      <c r="A7" s="25" t="s">
        <v>145</v>
      </c>
      <c r="B7" s="249" t="s">
        <v>445</v>
      </c>
      <c r="C7" s="248" t="s">
        <v>446</v>
      </c>
      <c r="D7" s="248" t="s">
        <v>447</v>
      </c>
      <c r="E7" s="249" t="s">
        <v>448</v>
      </c>
      <c r="F7" s="248" t="s">
        <v>40</v>
      </c>
      <c r="G7" s="10" t="s">
        <v>227</v>
      </c>
      <c r="H7" s="7">
        <f>'№ 7'!E481</f>
        <v>36</v>
      </c>
      <c r="I7" s="7">
        <f>'№ 7'!F481</f>
        <v>36</v>
      </c>
    </row>
    <row r="8" spans="1:9" ht="104.45" customHeight="1">
      <c r="A8" s="249" t="s">
        <v>70</v>
      </c>
      <c r="B8" s="249" t="s">
        <v>445</v>
      </c>
      <c r="C8" s="250">
        <v>42962</v>
      </c>
      <c r="D8" s="248">
        <v>109</v>
      </c>
      <c r="E8" s="249" t="s">
        <v>449</v>
      </c>
      <c r="F8" s="248" t="s">
        <v>56</v>
      </c>
      <c r="G8" s="246">
        <v>1240420390</v>
      </c>
      <c r="H8" s="7">
        <f>'№ 7'!E548</f>
        <v>917.5</v>
      </c>
      <c r="I8" s="7">
        <f>'№ 7'!F548</f>
        <v>917.5</v>
      </c>
    </row>
    <row r="9" spans="1:9" ht="62.45" customHeight="1">
      <c r="A9" s="249" t="s">
        <v>218</v>
      </c>
      <c r="B9" s="249" t="s">
        <v>445</v>
      </c>
      <c r="C9" s="248" t="s">
        <v>450</v>
      </c>
      <c r="D9" s="248" t="s">
        <v>451</v>
      </c>
      <c r="E9" s="249" t="s">
        <v>452</v>
      </c>
      <c r="F9" s="248" t="s">
        <v>42</v>
      </c>
      <c r="G9" s="247">
        <v>1240220350</v>
      </c>
      <c r="H9" s="7">
        <f>'№ 7'!E559</f>
        <v>92</v>
      </c>
      <c r="I9" s="7">
        <f>'№ 7'!F559</f>
        <v>92</v>
      </c>
    </row>
    <row r="10" spans="1:9" ht="25.15" customHeight="1">
      <c r="A10" s="5" t="s">
        <v>453</v>
      </c>
      <c r="B10" s="251" t="s">
        <v>69</v>
      </c>
      <c r="C10" s="251" t="s">
        <v>69</v>
      </c>
      <c r="D10" s="251" t="s">
        <v>69</v>
      </c>
      <c r="E10" s="251" t="s">
        <v>69</v>
      </c>
      <c r="F10" s="251" t="s">
        <v>69</v>
      </c>
      <c r="G10" s="251" t="s">
        <v>69</v>
      </c>
      <c r="H10" s="6">
        <f>H7+H8+H9</f>
        <v>1045.5</v>
      </c>
      <c r="I10" s="6">
        <f aca="true" t="shared" si="0" ref="I10">I7+I8+I9</f>
        <v>1045.5</v>
      </c>
    </row>
  </sheetData>
  <mergeCells count="7">
    <mergeCell ref="F1:I1"/>
    <mergeCell ref="A3:I3"/>
    <mergeCell ref="A4:A5"/>
    <mergeCell ref="B4:E4"/>
    <mergeCell ref="F4:G4"/>
    <mergeCell ref="H4:H5"/>
    <mergeCell ref="I4:I5"/>
  </mergeCells>
  <printOptions/>
  <pageMargins left="0.5905511811023623" right="0.1968503937007874" top="0.1968503937007874" bottom="0.1968503937007874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2021-05-17T13:18:39Z</cp:lastPrinted>
  <dcterms:created xsi:type="dcterms:W3CDTF">2007-11-30T05:39:28Z</dcterms:created>
  <dcterms:modified xsi:type="dcterms:W3CDTF">2021-05-17T13:18:53Z</dcterms:modified>
  <cp:category/>
  <cp:version/>
  <cp:contentType/>
  <cp:contentStatus/>
</cp:coreProperties>
</file>