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0"/>
  </bookViews>
  <sheets>
    <sheet name="№ 1 источ" sheetId="183" r:id="rId1"/>
    <sheet name="№2 источ" sheetId="195" r:id="rId2"/>
    <sheet name="№ 3 доходы" sheetId="196" r:id="rId3"/>
    <sheet name="№4 доходы по кодам" sheetId="197" r:id="rId4"/>
    <sheet name="№ 5 р.п" sheetId="143" r:id="rId5"/>
    <sheet name="№ 6 ведом" sheetId="154" r:id="rId6"/>
    <sheet name=" № 7  рп, кцср, квр" sheetId="155" r:id="rId7"/>
    <sheet name="№ 8 МП" sheetId="147" r:id="rId8"/>
    <sheet name="№ 9 ПО " sheetId="193" r:id="rId9"/>
    <sheet name="№ 10 АИП" sheetId="192" r:id="rId10"/>
    <sheet name="№ 11 ПЗ" sheetId="194" r:id="rId11"/>
  </sheets>
  <externalReferences>
    <externalReference r:id="rId14"/>
  </externalReferences>
  <definedNames>
    <definedName name="_xlnm._FilterDatabase" localSheetId="6" hidden="1">' № 7  рп, кцср, квр'!$A$5:$J$670</definedName>
    <definedName name="_xlnm.Print_Area" localSheetId="9">'№ 10 АИП'!$A$1:$L$16</definedName>
    <definedName name="_xlnm.Print_Area" localSheetId="2">'№ 3 доходы'!$A$1:$D$190</definedName>
    <definedName name="_xlnm.Print_Area" localSheetId="4">'№ 5 р.п'!$A$1:$D$45</definedName>
    <definedName name="_xlnm.Print_Area" localSheetId="5">'№ 6 ведом'!$A$1:$G$710</definedName>
    <definedName name="_xlnm.Print_Area" localSheetId="3">'№4 доходы по кодам'!$A$1:$D$161</definedName>
  </definedNames>
  <calcPr calcId="124519"/>
</workbook>
</file>

<file path=xl/sharedStrings.xml><?xml version="1.0" encoding="utf-8"?>
<sst xmlns="http://schemas.openxmlformats.org/spreadsheetml/2006/main" count="5854" uniqueCount="1100">
  <si>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</si>
  <si>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</si>
  <si>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</si>
  <si>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</si>
  <si>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</si>
  <si>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</si>
  <si>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</si>
  <si>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</si>
  <si>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</si>
  <si>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</si>
  <si>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</si>
  <si>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</si>
  <si>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</si>
  <si>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</si>
  <si>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</si>
  <si>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</si>
  <si>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</si>
  <si>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</si>
  <si>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</si>
  <si>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</si>
  <si>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</si>
  <si>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</si>
  <si>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</si>
  <si>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</si>
  <si>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</si>
  <si>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</si>
  <si>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</si>
  <si>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</si>
  <si>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</si>
  <si>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</si>
  <si>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</si>
  <si>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</si>
  <si>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</si>
  <si>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</si>
  <si>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</si>
  <si>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</si>
  <si>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</si>
  <si>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</si>
  <si>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</si>
  <si>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</si>
  <si>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</si>
  <si>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</si>
  <si>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</si>
  <si>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</si>
  <si>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</si>
  <si>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</si>
  <si>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</si>
  <si>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</si>
  <si>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</si>
  <si>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</si>
  <si>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</si>
  <si>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</si>
  <si>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</si>
  <si>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</si>
  <si>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</si>
  <si>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</si>
  <si>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</si>
  <si>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</si>
  <si>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</si>
  <si>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</si>
  <si>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</si>
  <si>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</si>
  <si>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</si>
  <si>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</si>
  <si>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</si>
  <si>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</si>
  <si>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</si>
  <si>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</si>
  <si>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</si>
  <si>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</si>
  <si>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</si>
  <si>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</si>
  <si>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</si>
  <si>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</si>
  <si>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</si>
  <si>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</si>
  <si>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</si>
  <si>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</si>
  <si>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</si>
  <si>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</si>
  <si>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</si>
  <si>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</si>
  <si>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</si>
  <si>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</si>
  <si>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</si>
  <si>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</si>
  <si>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</si>
  <si>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</si>
  <si>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</si>
  <si>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</si>
  <si>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</si>
  <si>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</si>
  <si>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</si>
  <si>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</si>
  <si>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</si>
  <si>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</si>
  <si>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</si>
  <si>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</si>
  <si>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</si>
  <si>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</si>
  <si>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</si>
  <si>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</si>
  <si>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</si>
  <si>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</si>
  <si>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</si>
  <si>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</si>
  <si>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</si>
  <si>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</si>
  <si>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</si>
  <si>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</si>
  <si>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</si>
  <si>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</si>
  <si>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</si>
  <si>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</si>
  <si>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</si>
  <si>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</si>
  <si>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</si>
  <si>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</si>
  <si>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</si>
  <si>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</si>
  <si>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</si>
  <si>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</si>
  <si>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</si>
  <si>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</si>
  <si>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</si>
  <si>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</si>
  <si>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</si>
  <si>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</si>
  <si>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</si>
  <si>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</si>
  <si>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</si>
  <si>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</si>
  <si>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</si>
  <si>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</si>
  <si>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</si>
  <si>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</si>
  <si>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</si>
  <si>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</si>
  <si>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</si>
  <si>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</si>
  <si>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</si>
  <si>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</si>
  <si>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</si>
  <si>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</si>
  <si>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</si>
  <si>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</si>
  <si>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</si>
  <si>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</si>
  <si>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</si>
  <si>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</si>
  <si>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</si>
  <si>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</si>
  <si>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</si>
  <si>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</si>
  <si>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</si>
  <si>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</si>
  <si>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</si>
  <si>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</si>
  <si>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</si>
  <si>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</si>
  <si>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</si>
  <si>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</si>
  <si>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</si>
  <si>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</si>
  <si>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</si>
  <si>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</si>
  <si>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</si>
  <si>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</si>
  <si>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</si>
  <si>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</si>
  <si>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</si>
  <si>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</si>
  <si>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</si>
  <si>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</si>
  <si>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</si>
  <si>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</si>
  <si>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</si>
  <si>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</si>
  <si>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</si>
  <si>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</si>
  <si>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</si>
  <si>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</si>
  <si>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</si>
  <si>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</si>
  <si>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</si>
  <si>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</si>
  <si>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</si>
  <si>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</si>
  <si>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</si>
  <si>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</si>
  <si>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</si>
  <si>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</si>
  <si>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</si>
  <si>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</si>
  <si>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</si>
  <si>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</si>
  <si>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</si>
  <si>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</si>
  <si>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</si>
  <si>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</si>
  <si>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</si>
  <si>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</si>
  <si>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</si>
  <si>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</si>
  <si>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</si>
  <si>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</si>
  <si>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</si>
  <si>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</si>
  <si>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</si>
  <si>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</si>
  <si>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</si>
  <si>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</si>
  <si>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</si>
  <si>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</si>
  <si>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</si>
  <si>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</si>
  <si>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</si>
  <si>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</si>
  <si>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</si>
  <si>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</si>
  <si>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</si>
  <si>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</si>
  <si>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</si>
  <si>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</si>
  <si>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</si>
  <si>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</si>
  <si>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</si>
  <si>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</si>
  <si>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</si>
  <si>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</si>
  <si>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</si>
  <si>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</si>
  <si>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</si>
  <si>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</si>
  <si>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</si>
  <si>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</si>
  <si>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</si>
  <si>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</si>
  <si>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</si>
  <si>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</si>
  <si>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</si>
  <si>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</si>
  <si>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</si>
  <si>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</si>
  <si>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</si>
  <si>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</si>
  <si>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</si>
  <si>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</si>
  <si>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</si>
  <si>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</si>
  <si>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</si>
  <si>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</si>
  <si>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</si>
  <si>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</si>
  <si>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</si>
  <si>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</si>
  <si>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</si>
  <si>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</si>
  <si>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</si>
  <si>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</si>
  <si>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</si>
  <si>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</si>
  <si>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</si>
  <si>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</si>
  <si>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</si>
  <si>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</si>
  <si>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</si>
  <si>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</si>
  <si>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</si>
  <si>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</si>
  <si>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</si>
  <si>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</si>
  <si>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</si>
  <si>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</si>
  <si>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</si>
  <si>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</si>
  <si>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</si>
  <si>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</si>
  <si>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</si>
  <si>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</si>
  <si>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</si>
  <si>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</si>
  <si>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</si>
  <si>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</si>
  <si>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</si>
  <si>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</si>
  <si>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</si>
  <si>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</si>
  <si>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</si>
  <si>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</si>
  <si>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</si>
  <si>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</si>
  <si>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</si>
  <si>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</si>
  <si>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</si>
  <si>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</si>
  <si>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</si>
  <si>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</si>
  <si>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</si>
  <si>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</si>
  <si>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</si>
  <si>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</si>
  <si>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</si>
  <si>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</si>
  <si>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</si>
  <si>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</si>
  <si>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</si>
  <si>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</si>
  <si>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</si>
  <si>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</si>
  <si>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</si>
  <si>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</si>
  <si>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</si>
  <si>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</si>
  <si>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</si>
  <si>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</si>
  <si>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</si>
  <si>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</si>
  <si>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</si>
  <si>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</si>
  <si>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</si>
  <si>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</si>
  <si>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</si>
  <si>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</si>
  <si>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</si>
  <si>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</si>
  <si>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</si>
  <si>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</si>
  <si>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</si>
  <si>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</si>
  <si>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</si>
  <si>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</si>
  <si>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</si>
  <si>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</si>
  <si>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</si>
  <si>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</si>
  <si>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</si>
  <si>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</si>
  <si>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</si>
  <si>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</si>
  <si>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</si>
  <si>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</si>
  <si>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</si>
  <si>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</si>
  <si>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</si>
  <si>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</si>
  <si>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</si>
  <si>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</si>
  <si>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</si>
  <si>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</si>
  <si>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</si>
  <si>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</si>
  <si>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</si>
  <si>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</si>
  <si>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</si>
  <si>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</si>
  <si>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</si>
  <si>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</si>
  <si>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</si>
  <si>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</si>
  <si>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</si>
  <si>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</si>
  <si>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</si>
  <si>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</si>
  <si>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Мероприятие "Благоустройство территорий муниципальных образовательных организаций"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</si>
  <si>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</si>
  <si>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</si>
  <si>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</si>
  <si>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</si>
  <si>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</si>
  <si>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</si>
  <si>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</si>
  <si>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</si>
  <si>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</si>
  <si>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</si>
  <si>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</si>
  <si>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1110720020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</si>
  <si>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</si>
  <si>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</si>
  <si>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</si>
  <si>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Санитарная уборка территорий города</t>
  </si>
  <si>
    <t>13201S9010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</si>
  <si>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</si>
  <si>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на условиях софинансирования</t>
  </si>
  <si>
    <t>126P500000</t>
  </si>
  <si>
    <t>Мероприятие "Реализация регионального проекта "Спорт - норма жизни", национального проекта "Демография"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</si>
  <si>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</si>
  <si>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</si>
  <si>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126P5S0480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</si>
  <si>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</si>
  <si>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за счет субсидии из областного бюджета</t>
  </si>
  <si>
    <t>Участие физических и юридических лиц в благоустройстве  территории города</t>
  </si>
  <si>
    <t>Модернизация объектов теплоэнергетических комплексов за счет субсидии из областного бюджета</t>
  </si>
  <si>
    <t xml:space="preserve">12103L5191  </t>
  </si>
  <si>
    <t>Благоустройство земельных участков</t>
  </si>
  <si>
    <t>Мероприятие "Приобретение основных средств, не относящихся к объектам недвижимости, муниципальными учреждениями в сфере предупреждения и ликвидации последствий чрезвычайных ситуаций"</t>
  </si>
  <si>
    <t>Приобретение муниципальными учреждениями оборудования и других основных средств</t>
  </si>
  <si>
    <t>11107L2550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</si>
  <si>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</si>
  <si>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</si>
  <si>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"Обеспечение охраны объектов (территорий) сотрудниками частных охранных организаций или подразделениями охраны"</t>
  </si>
  <si>
    <t xml:space="preserve">муниципального образования город Торжок за 2021 год </t>
  </si>
  <si>
    <t>Утверждено решением о бюджете</t>
  </si>
  <si>
    <t>Кассовое исполнение</t>
  </si>
  <si>
    <t xml:space="preserve"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за 2021 год </t>
  </si>
  <si>
    <t xml:space="preserve">Ведомственная структура расходов бюджета муниципального образования  город Торжок  за 2021 год </t>
  </si>
  <si>
    <t xml:space="preserve"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2021 год 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</si>
  <si>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за 2021 год </t>
    </r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</si>
  <si>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</si>
  <si>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</si>
  <si>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</si>
  <si>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Бюджетополуча-тель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</si>
  <si>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</si>
  <si>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</si>
  <si>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</si>
  <si>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</si>
  <si>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</si>
  <si>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</si>
  <si>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</si>
  <si>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</si>
  <si>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</si>
  <si>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Строительство тепловой сети от точки присоединения до узла ввода в жилой дом  № 51  по Тверецкой набережной в г. Торжок Тверской области (СМР) </t>
  </si>
  <si>
    <t>1.1.3.</t>
  </si>
  <si>
    <t>Строительство блочно-модульной котельной  для микрорайона «Пожтехника» (разработка проектной документации)</t>
  </si>
  <si>
    <t>1.1.5.</t>
  </si>
  <si>
    <t>Строительство блочно-модульной котельной на ул. Энергетиков (разработка проектной документации)</t>
  </si>
  <si>
    <t>1.1.6.</t>
  </si>
  <si>
    <t>Комплексное развитие территории и инфраструктуры малых исторических поселений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</si>
  <si>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</si>
  <si>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</si>
  <si>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</si>
  <si>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</si>
  <si>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</si>
  <si>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</si>
  <si>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</si>
  <si>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</si>
  <si>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</si>
  <si>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</si>
  <si>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</si>
  <si>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</si>
  <si>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</si>
  <si>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</si>
  <si>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</si>
  <si>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 Положении о звании "Почетный гражданин города Торжка"</t>
  </si>
  <si>
    <t>Итого:</t>
  </si>
  <si>
    <t xml:space="preserve">Общий объем бюджетных ассигнований, направляемых  на исполнение публичных нормативных обязательств муниципального образования город Торжок за 2021 год </t>
  </si>
  <si>
    <t xml:space="preserve">к решению Торжокской городской                 </t>
  </si>
  <si>
    <t>1.</t>
  </si>
  <si>
    <t>Привлечение заёмных средств :</t>
  </si>
  <si>
    <t>тыс.руб.</t>
  </si>
  <si>
    <t>№
 п/п</t>
  </si>
  <si>
    <t>источники</t>
  </si>
  <si>
    <t>Бюджетные кредиты, полученные из областного бюджета</t>
  </si>
  <si>
    <t>ИТОГО:</t>
  </si>
  <si>
    <t>2. Погашение долговых обязательств:</t>
  </si>
  <si>
    <t>№ 
п/п</t>
  </si>
  <si>
    <t>долговые обязательства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</si>
  <si>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</si>
  <si>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</si>
  <si>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</si>
  <si>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
муниципального образования город Торжок за 2021 год 
</t>
    </r>
  </si>
  <si>
    <t>Приложение  2</t>
  </si>
  <si>
    <t>к решению Торжокской городской Думы</t>
  </si>
  <si>
    <t>Источники  финансирования  дефицита  бюджета муниципального образования город Торжок</t>
  </si>
  <si>
    <t xml:space="preserve">тыс. руб. 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</si>
  <si>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</si>
  <si>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</si>
  <si>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</si>
  <si>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Итого источники финансирования дефицита бюджета</t>
  </si>
  <si>
    <t xml:space="preserve">по кодам классификации источников финансирования дефицитов бюджетов  за 2021 год </t>
  </si>
  <si>
    <t>Приложение 11</t>
  </si>
  <si>
    <t>Приложение 3</t>
  </si>
  <si>
    <t>к   решению Торжокской городской Думы</t>
  </si>
  <si>
    <t xml:space="preserve">Поступление доходов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2021 год 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</si>
  <si>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</si>
  <si>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</si>
  <si>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</si>
  <si>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</si>
  <si>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</si>
  <si>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</si>
  <si>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</si>
  <si>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</si>
  <si>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</si>
  <si>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</si>
  <si>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</si>
  <si>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</si>
  <si>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</si>
  <si>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</si>
  <si>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</si>
  <si>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</si>
  <si>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</si>
  <si>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</si>
  <si>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</si>
  <si>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</si>
  <si>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</si>
  <si>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</si>
  <si>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</si>
  <si>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</si>
  <si>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</si>
  <si>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</si>
  <si>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</si>
  <si>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</si>
  <si>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</si>
  <si>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</si>
  <si>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</si>
  <si>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</si>
  <si>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</si>
  <si>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</si>
  <si>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</si>
  <si>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</si>
  <si>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</si>
  <si>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</si>
  <si>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</si>
  <si>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</si>
  <si>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</si>
  <si>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</si>
  <si>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</si>
  <si>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</si>
  <si>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</si>
  <si>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</si>
  <si>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</si>
  <si>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</si>
  <si>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</si>
  <si>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</si>
  <si>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</si>
  <si>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</si>
  <si>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</si>
  <si>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</si>
  <si>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</si>
  <si>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</si>
  <si>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</si>
  <si>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</si>
  <si>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</si>
  <si>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</si>
  <si>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</si>
  <si>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</si>
  <si>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</si>
  <si>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</si>
  <si>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</si>
  <si>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</si>
  <si>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</si>
  <si>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</si>
  <si>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</si>
  <si>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</si>
  <si>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</si>
  <si>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</si>
  <si>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</si>
  <si>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</si>
  <si>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</si>
  <si>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</si>
  <si>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</si>
  <si>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</si>
  <si>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</si>
  <si>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</si>
  <si>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</si>
  <si>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</si>
  <si>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</si>
  <si>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</si>
  <si>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</si>
  <si>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</si>
  <si>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</si>
  <si>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</si>
  <si>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</si>
  <si>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</si>
  <si>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</si>
  <si>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</si>
  <si>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</si>
  <si>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</si>
  <si>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</si>
  <si>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</si>
  <si>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</si>
  <si>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</si>
  <si>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</si>
  <si>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</si>
  <si>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</si>
  <si>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</si>
  <si>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</si>
  <si>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</si>
  <si>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</si>
  <si>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</si>
  <si>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</si>
  <si>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</si>
  <si>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</si>
  <si>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</si>
  <si>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</si>
  <si>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</si>
  <si>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</si>
  <si>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</si>
  <si>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</si>
  <si>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</si>
  <si>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</si>
  <si>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</si>
  <si>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</si>
  <si>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</si>
  <si>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</si>
  <si>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</si>
  <si>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</si>
  <si>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</si>
  <si>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</si>
  <si>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</si>
  <si>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</si>
  <si>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</si>
  <si>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</si>
  <si>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</si>
  <si>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</si>
  <si>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</si>
  <si>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</si>
  <si>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</si>
  <si>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</si>
  <si>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</si>
  <si>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</si>
  <si>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</si>
  <si>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</si>
  <si>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</si>
  <si>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</si>
  <si>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</si>
  <si>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</si>
  <si>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</si>
  <si>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</si>
  <si>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</si>
  <si>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</si>
  <si>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</si>
  <si>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</si>
  <si>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</si>
  <si>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</si>
  <si>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</si>
  <si>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</si>
  <si>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</si>
  <si>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</si>
  <si>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</si>
  <si>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</si>
  <si>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</si>
  <si>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</si>
  <si>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</si>
  <si>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</si>
  <si>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</si>
  <si>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</si>
  <si>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</si>
  <si>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</si>
  <si>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</si>
  <si>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</si>
  <si>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</si>
  <si>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</si>
  <si>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</si>
  <si>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</si>
  <si>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</si>
  <si>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</si>
  <si>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</si>
  <si>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</si>
  <si>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</si>
  <si>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</si>
  <si>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</si>
  <si>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</si>
  <si>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</si>
  <si>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</si>
  <si>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</si>
  <si>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</si>
  <si>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</si>
  <si>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</si>
  <si>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</si>
  <si>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</si>
  <si>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</si>
  <si>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</si>
  <si>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</si>
  <si>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</si>
  <si>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</si>
  <si>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</si>
  <si>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</si>
  <si>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</si>
  <si>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</si>
  <si>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</si>
  <si>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</si>
  <si>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</si>
  <si>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</si>
  <si>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</si>
  <si>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</si>
  <si>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</si>
  <si>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</si>
  <si>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</si>
  <si>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</si>
  <si>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</si>
  <si>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</si>
  <si>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</si>
  <si>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</si>
  <si>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</si>
  <si>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</si>
  <si>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</si>
  <si>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</si>
  <si>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</si>
  <si>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</si>
  <si>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</si>
  <si>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</si>
  <si>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</si>
  <si>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</si>
  <si>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</si>
  <si>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</si>
  <si>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</si>
  <si>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</si>
  <si>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</si>
  <si>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</si>
  <si>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</si>
  <si>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</si>
  <si>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</si>
  <si>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</si>
  <si>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</si>
  <si>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</si>
  <si>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</si>
  <si>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</si>
  <si>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</si>
  <si>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</si>
  <si>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</si>
  <si>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</si>
  <si>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</si>
  <si>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</si>
  <si>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</si>
  <si>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</si>
  <si>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</si>
  <si>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</si>
  <si>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</si>
  <si>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</si>
  <si>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</si>
  <si>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</si>
  <si>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</si>
  <si>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</si>
  <si>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</si>
  <si>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</si>
  <si>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</si>
  <si>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</si>
  <si>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</si>
  <si>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</si>
  <si>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 xml:space="preserve"> 000 2 02 20077 00 0000 150 </t>
  </si>
  <si>
    <t>Субсидии бюджетам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</si>
  <si>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</si>
  <si>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на модернизацию объектов теплоэнергетических комплексов муниципальных образований Тверской области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</si>
  <si>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</si>
  <si>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</si>
  <si>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</si>
  <si>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</si>
  <si>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</si>
  <si>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</si>
  <si>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</si>
  <si>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</si>
  <si>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</si>
  <si>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</si>
  <si>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</si>
  <si>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</si>
  <si>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</si>
  <si>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</si>
  <si>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</si>
  <si>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</si>
  <si>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</si>
  <si>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</si>
  <si>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</si>
  <si>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</si>
  <si>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</si>
  <si>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</si>
  <si>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</si>
  <si>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</si>
  <si>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</si>
  <si>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</si>
  <si>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</si>
  <si>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</si>
  <si>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</si>
  <si>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</si>
  <si>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</si>
  <si>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</si>
  <si>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</si>
  <si>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</si>
  <si>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</si>
  <si>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</si>
  <si>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</si>
  <si>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</si>
  <si>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№ 100 и № 102 по улице Старицкая)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</si>
  <si>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</si>
  <si>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</si>
  <si>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</si>
  <si>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</si>
  <si>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</si>
  <si>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</si>
  <si>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</si>
  <si>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</si>
  <si>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</si>
  <si>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</si>
  <si>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</si>
  <si>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</si>
  <si>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</si>
  <si>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</si>
  <si>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</si>
  <si>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</si>
  <si>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</si>
  <si>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</si>
  <si>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</si>
  <si>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</si>
  <si>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</si>
  <si>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</si>
  <si>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</si>
  <si>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</si>
  <si>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</si>
  <si>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</si>
  <si>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</si>
  <si>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</si>
  <si>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</si>
  <si>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</si>
  <si>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</si>
  <si>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</si>
  <si>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</si>
  <si>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</si>
  <si>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</si>
  <si>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</si>
  <si>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</si>
  <si>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</si>
  <si>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</si>
  <si>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</si>
  <si>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</si>
  <si>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</si>
  <si>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</si>
  <si>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</si>
  <si>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</si>
  <si>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</si>
  <si>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</si>
  <si>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</si>
  <si>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</si>
  <si>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</si>
  <si>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</si>
  <si>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Приложение 4 </t>
  </si>
  <si>
    <t>Код администратора доходов</t>
  </si>
  <si>
    <t>Наименование кода классификации доходов</t>
  </si>
  <si>
    <t>Код классификации доходов</t>
  </si>
  <si>
    <t>Исполнено,  тыс.руб.</t>
  </si>
  <si>
    <t>0 0 1</t>
  </si>
  <si>
    <t xml:space="preserve"> </t>
  </si>
  <si>
    <t>001 1 13 02994 04 0000 130</t>
  </si>
  <si>
    <t>001 1 16 01074 01 0000 140</t>
  </si>
  <si>
    <t>001 1 16 01084 01 0000 140</t>
  </si>
  <si>
    <t>001 1 16 02020 02 0000 140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</si>
  <si>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</si>
  <si>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001 1 16 07010 04 0000 140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</si>
  <si>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фонда))</t>
  </si>
  <si>
    <t>001 1 16 10123 01 0001 140</t>
  </si>
  <si>
    <t>001 1 16 11064 01 0000 140</t>
  </si>
  <si>
    <t>Инициативные платежи, зачисляемые в бюджеты городских округов (Инициативные платежи, зачисляемые в бюджеты городских округов (Установка новой детской игровой площадки между МКД № 100 и №102 по улице Старицкая))</t>
  </si>
  <si>
    <t>001 1 17 15020 04 9010 150</t>
  </si>
  <si>
    <t>0 0 2</t>
  </si>
  <si>
    <t>002 1 17 01040 04 0000 180</t>
  </si>
  <si>
    <t>002 2 02 15002 04 0000 150</t>
  </si>
  <si>
    <t>Субсидии бюджетам городских округов на софинансирование капитальных вложений в объекты муниципальной собственности (Субсидии бюджетам на модернизацию объектов теплоэнергетических комплексов муниципальных образований Тверской области)</t>
  </si>
  <si>
    <t>002 2 02 20077 04 2131 150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</si>
  <si>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ремонт дворовых территорий многоквартирных домов, проездов к дворовым территориям многоквартирных домов населенных пунктов)</t>
  </si>
  <si>
    <t>002 2 02 20216 04 2125 150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</si>
  <si>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капитальный ремонт и ремонт улично-дорожной сети муниципальных образований Тверской области)</t>
  </si>
  <si>
    <t>002 2 02 20216 04 2224 150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</si>
  <si>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</si>
  <si>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002 2 02 20216 04 2227 150</t>
  </si>
  <si>
    <t>002 2 02 25255 04 0000 150</t>
  </si>
  <si>
    <t>002 2 02 25299 04 0000 150</t>
  </si>
  <si>
    <t>002 2 02 25304 04 0000 150</t>
  </si>
  <si>
    <t>002 2 02 25497 04 0000 150</t>
  </si>
  <si>
    <t>002 2 02 25555 04 0000 150</t>
  </si>
  <si>
    <t>Прочие субсидии бюджетам городских округов (Субсидии на поддержку редакций районных и городских газет)</t>
  </si>
  <si>
    <t>002 2 02 29999 04 2049 150</t>
  </si>
  <si>
    <t>Прочие субсидии бюджетам городских округов (Субсидии на организацию отдыха детей в каникулярное время)</t>
  </si>
  <si>
    <t>002 2 02 29999 04 2071 150</t>
  </si>
  <si>
    <t>Прочие субсидии бюджетам городских округов (Субсидии на укрепление материально-технической базы муниципальных спортивных школ)</t>
  </si>
  <si>
    <t>002 2 02 29999 04 2189 150</t>
  </si>
  <si>
    <t>Прочие субсидии бюджетам городских округов (Субсидии бюджетам на организацию участия детей и подростков в социально значимых региональных проектах)</t>
  </si>
  <si>
    <t>002 2 02 29999 04 2203 150</t>
  </si>
  <si>
    <t>Прочие субсидии бюджетам городских округов (Субсидии на повышение заработной платы педагогическим работникам муниципальных организаций дополнительного образования)</t>
  </si>
  <si>
    <t>002 2 02 29999 04 2207 150</t>
  </si>
  <si>
    <t>Прочие субсидии бюджетам городских округов (Субсидии на повышение заработной платы работникам муниципальных учреждений культуры Тверской области)</t>
  </si>
  <si>
    <t>002 2 02 29999 04 2208 150</t>
  </si>
  <si>
    <t>Прочие субсидии бюджетам городских округов (Субсидии бюджетам на укрепление материально-технической базы муниципальных дошкольных образовательных организаций)</t>
  </si>
  <si>
    <t>002 2 02 29999 04 2222 150</t>
  </si>
  <si>
    <t>Прочие субсидии бюджетам городских округов (Субсидии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№ 100 и №102 по улице Старицкая))</t>
  </si>
  <si>
    <t>002 2 02 29999 04 9010 150</t>
  </si>
  <si>
    <t>002 2 02 30029 04 0000 150</t>
  </si>
  <si>
    <t>002 2 02 35082 04 0000 150</t>
  </si>
  <si>
    <t>002 2 02 35120 04 0000 150</t>
  </si>
  <si>
    <t>002 2 02 35303 04 0000 150</t>
  </si>
  <si>
    <t>002 2 02 35469 04 0000 150</t>
  </si>
  <si>
    <t>002 2 02 35930 04 0000 150</t>
  </si>
  <si>
    <t>Прочие субвенции бюджетам городских округов (Субвенции на 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несовершеннолетних)</t>
  </si>
  <si>
    <t>002 2 02 39999 04 2015 150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</si>
  <si>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</si>
  <si>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002 2 02 39999 04 2016 150</t>
  </si>
  <si>
    <t>Прочие субвенции бюджетам городских округов (Субвенции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</si>
  <si>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002 2 02 39999 04 2114 150</t>
  </si>
  <si>
    <t>Прочие субвенции бюджетам городских округов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</si>
  <si>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002 2 02 39999 04 2153 150</t>
  </si>
  <si>
    <t>Прочие межбюджетные трансферты, передаваемые бюджетам городских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</si>
  <si>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>002 2 02 49999 04 2164 150</t>
  </si>
  <si>
    <t>002 2 19 25497 04 0000 150</t>
  </si>
  <si>
    <t>002 2 19 35120 04 0000 150</t>
  </si>
  <si>
    <t>002 2 19 60010 04 0000 150</t>
  </si>
  <si>
    <t>0 0 5</t>
  </si>
  <si>
    <t>005 1 11 05012 04 0000 120</t>
  </si>
  <si>
    <t>005 1 11 05024 04 0000 120</t>
  </si>
  <si>
    <t>005 1 11 05074 04 0000 120</t>
  </si>
  <si>
    <t>005 1 11 07014 04 0000 120</t>
  </si>
  <si>
    <t>005 1 11 09044 04 0000 120</t>
  </si>
  <si>
    <t>005 1 14 06012 04 0000 430</t>
  </si>
  <si>
    <t>005 1 14 06024 04 0000 430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</si>
  <si>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имущества на условиях преимущественного права выкупа арендуемого имущества субъектами малого и среднего предпринимательства)</t>
  </si>
  <si>
    <t>005 1 14 13040 04 0010 410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</si>
  <si>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продажи земельных участков)</t>
  </si>
  <si>
    <t>005 1 14 13040 04 0030 410</t>
  </si>
  <si>
    <t>005 1 16 07090 04 0000 140</t>
  </si>
  <si>
    <t>005 1 16 10031 04 0001 140</t>
  </si>
  <si>
    <t>005 1 16 10123 01 0001 140</t>
  </si>
  <si>
    <t>005 1 17 05040 04 0000 180</t>
  </si>
  <si>
    <t xml:space="preserve">0 4 8 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</si>
  <si>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</si>
  <si>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</si>
  <si>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</si>
  <si>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</si>
  <si>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</si>
  <si>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</si>
  <si>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</si>
  <si>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</si>
  <si>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</si>
  <si>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</si>
  <si>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048 1 16 10123 01 0041 120</t>
  </si>
  <si>
    <t>0 7 5</t>
  </si>
  <si>
    <t>Министерство образования Тверской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</si>
  <si>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</si>
  <si>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075 1 16 01053 01 0035 140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</si>
  <si>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</si>
  <si>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075 1 16 01053 01 9000 140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</si>
  <si>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</si>
  <si>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075 1 16 01063 01 0101 140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</si>
  <si>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</si>
  <si>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075 1 16 01063 01 9000 140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</si>
  <si>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</si>
  <si>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075 1 16 01073 01 0017 140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</si>
  <si>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</si>
  <si>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075 1 16 01073 01 0027 140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</si>
  <si>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</si>
  <si>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075 1 16 01203 01 0021 140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</si>
  <si>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</si>
  <si>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075 1 16 01203 01 9000 140</t>
  </si>
  <si>
    <t>1 0 0</t>
  </si>
  <si>
    <t>Федеральное казначейство</t>
  </si>
  <si>
    <t>100 1 03 02231 01 0000 110</t>
  </si>
  <si>
    <t>100 1 03 02241 01 0000 110</t>
  </si>
  <si>
    <t>100 1 03 02251 01 0000 110</t>
  </si>
  <si>
    <t>100 1 03 02261 01 0000 110</t>
  </si>
  <si>
    <t>1 4 1</t>
  </si>
  <si>
    <t>Федеральная служба по надзору в сфере защиты прав потребителей и благополучия человека</t>
  </si>
  <si>
    <t>141 1 16 10123 01 0041 140</t>
  </si>
  <si>
    <t>1 8 2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</si>
  <si>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</si>
  <si>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</si>
  <si>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</si>
  <si>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</si>
  <si>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</si>
  <si>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</si>
  <si>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</si>
  <si>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</si>
  <si>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</si>
  <si>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</si>
  <si>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</si>
  <si>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</si>
  <si>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</si>
  <si>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</si>
  <si>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</si>
  <si>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</si>
  <si>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</si>
  <si>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</si>
  <si>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</si>
  <si>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</si>
  <si>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</si>
  <si>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</si>
  <si>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</si>
  <si>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</si>
  <si>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</si>
  <si>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</si>
  <si>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</si>
  <si>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</si>
  <si>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</si>
  <si>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</si>
  <si>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</si>
  <si>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</si>
  <si>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</si>
  <si>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</si>
  <si>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</si>
  <si>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</si>
  <si>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</si>
  <si>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</si>
  <si>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</si>
  <si>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</si>
  <si>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</si>
  <si>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</si>
  <si>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</si>
  <si>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>Единый налог на вмененный доход для отдельных видов деятельности (пени по соответствующему платежу)</t>
  </si>
  <si>
    <t>182 1 05 02010 02 2100 110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</si>
  <si>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</si>
  <si>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</si>
  <si>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>Единый налог на вмененный доход для отдельных видов деятельности (прочие поступления)</t>
  </si>
  <si>
    <t>182 1 05 02010 02 4000 110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</si>
  <si>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</si>
  <si>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</si>
  <si>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</si>
  <si>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</si>
  <si>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</si>
  <si>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</si>
  <si>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</si>
  <si>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182 1 05 04010 02 4000 110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</si>
  <si>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</si>
  <si>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</si>
  <si>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</si>
  <si>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</si>
  <si>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</si>
  <si>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</si>
  <si>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</si>
  <si>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182 1 06 06032 04 2100 110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</si>
  <si>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</si>
  <si>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182 106 06032 04 3000 110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</si>
  <si>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</si>
  <si>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182 106 06032 04 4000 110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</si>
  <si>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</si>
  <si>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</si>
  <si>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</si>
  <si>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</si>
  <si>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</si>
  <si>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</si>
  <si>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</si>
  <si>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</si>
  <si>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</si>
  <si>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</si>
  <si>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182 1 16 10129 01 0000 140</t>
  </si>
  <si>
    <t xml:space="preserve">1 8 8 </t>
  </si>
  <si>
    <t>Министерство внутренних дел Российской Федерации</t>
  </si>
  <si>
    <t>188 1 16 10123 01 0041 140</t>
  </si>
  <si>
    <t>3 3 5</t>
  </si>
  <si>
    <t>Главное управление региональной безопасности Тверской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</si>
  <si>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</si>
  <si>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335 1 16 01053 01 0027 140</t>
  </si>
  <si>
    <t>335 1 16 01053 01 9000 140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</si>
  <si>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</si>
  <si>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335 1 16 01063 01 0008 140</t>
  </si>
  <si>
    <t>335 1 16 01073 01 0017 140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</si>
  <si>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</si>
  <si>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335 1 16 01073 01 0019 140</t>
  </si>
  <si>
    <t>335 1 16 01073 01 0027 140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</si>
  <si>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</si>
  <si>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335 1 16 01083 01 0028 140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</si>
  <si>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</si>
  <si>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335 1 16 01083 01 0281 140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</si>
  <si>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нарушение правил карантина животных или других ветеринарно-санитарных правил)</t>
  </si>
  <si>
    <t>335 1 16 01103 01 0006 140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</si>
  <si>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</si>
  <si>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335 1 16 01103 01 9000 140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</si>
  <si>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</si>
  <si>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335 1 16 01133 01 9000 140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</si>
  <si>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</si>
  <si>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335 1 16 01143 01 0016 140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</si>
  <si>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</si>
  <si>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335 1 16 01143 01 9000 140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</si>
  <si>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</si>
  <si>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335 1 16 01153 01 0005 140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</si>
  <si>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</si>
  <si>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335 1 16 01153 01 0006 140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</si>
  <si>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</si>
  <si>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335 1 16 01153 01 0012 140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</si>
  <si>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</si>
  <si>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335 1 16 01153 01 9000 140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</si>
  <si>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</si>
  <si>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335 1 16 01173 01 0007 140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</si>
  <si>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</si>
  <si>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335 1 16 01173 01 0008 140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</si>
  <si>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</si>
  <si>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335 1 16 01173 01 9000 140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</si>
  <si>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</si>
  <si>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335 1 16 01193 01 0005 140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</si>
  <si>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</si>
  <si>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335 1 16 01193 01 0013 140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</si>
  <si>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</si>
  <si>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335 1 16 01193 01 0029 140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</si>
  <si>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</si>
  <si>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335 1 16 01193 01 0401 140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</si>
  <si>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</si>
  <si>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335 1 16 01193 01 9000 140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</si>
  <si>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</si>
  <si>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335 1 16 01203 01 0006 140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</si>
  <si>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</si>
  <si>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335 1 16 01203 01 0008 140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</si>
  <si>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</si>
  <si>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335 1 16 01203 01 0013 140</t>
  </si>
  <si>
    <t>335 1 16 01203 01 0021 140</t>
  </si>
  <si>
    <t>335 1 16 01203 01 9000 140</t>
  </si>
  <si>
    <t>Доходы бюджета муниципального образования город Торжок за 2021 год 
по кодам классификации доходов бюджетов</t>
  </si>
  <si>
    <t xml:space="preserve">от 11.05.2022  № 111 </t>
  </si>
  <si>
    <t>от 11.05.2022  № 111</t>
  </si>
  <si>
    <t xml:space="preserve">от 11.05.2022 № 111  </t>
  </si>
  <si>
    <t>Приложение 5
к решению Торжокской городской Думы
от 11.05.2022  № 111</t>
  </si>
  <si>
    <t>Приложение 6 
к решению Торжокской городской Думы
от 11.05.2022 № 111</t>
  </si>
  <si>
    <t>Приложение  7
к решению Торжокской городской Думы
от 11.05.2022  № 111</t>
  </si>
  <si>
    <t>Приложение 8
к решению Торжокской городской Думы
от 11.05.2022  № 111</t>
  </si>
  <si>
    <t>Приложение 9
к решению Торжокской городской
Думы от 11.05 .2022 № 111</t>
  </si>
  <si>
    <t>Приложение 10
к решению Торжокской городской
Думы  от 11.05.2022  № 111</t>
  </si>
  <si>
    <t>Думы от 11.05.2021 № 111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</si>
</sst>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  <numFmt numFmtId="169" formatCode="_-* #,##0_р_._-;\-* #,##0_р_._-;_-* &quot;-&quot;_р_._-;_-@_-"/>
  </numFmts>
  <fonts count="2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192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48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49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6" xfId="31" applyNumberFormat="1" applyFont="1" applyFill="1" applyBorder="1" applyAlignment="1">
      <alignment horizontal="left" vertical="center" wrapText="1"/>
      <protection/>
    </xf>
    <xf numFmtId="0" fontId="3" fillId="0" borderId="4" xfId="31" applyNumberFormat="1" applyFont="1" applyFill="1" applyBorder="1" applyAlignment="1">
      <alignment vertical="center" wrapText="1"/>
      <protection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vertical="top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14" fillId="0" borderId="0" xfId="179" applyFont="1" applyAlignment="1">
      <alignment horizontal="left"/>
      <protection/>
    </xf>
    <xf numFmtId="0" fontId="14" fillId="0" borderId="0" xfId="179" applyFont="1">
      <alignment/>
      <protection/>
    </xf>
    <xf numFmtId="0" fontId="14" fillId="0" borderId="0" xfId="179" applyFont="1" applyAlignment="1">
      <alignment horizontal="center"/>
      <protection/>
    </xf>
    <xf numFmtId="0" fontId="15" fillId="0" borderId="0" xfId="179" applyFont="1" applyAlignment="1">
      <alignment horizontal="center"/>
      <protection/>
    </xf>
    <xf numFmtId="0" fontId="3" fillId="0" borderId="4" xfId="179" applyFont="1" applyBorder="1" applyAlignment="1">
      <alignment horizontal="center" vertical="center" wrapText="1"/>
      <protection/>
    </xf>
    <xf numFmtId="0" fontId="7" fillId="0" borderId="4" xfId="179" applyFont="1" applyBorder="1" applyAlignment="1">
      <alignment horizontal="center" vertical="center" wrapText="1"/>
      <protection/>
    </xf>
    <xf numFmtId="0" fontId="7" fillId="0" borderId="1" xfId="180" applyFont="1" applyBorder="1" applyAlignment="1">
      <alignment horizontal="left" vertical="center" wrapText="1"/>
      <protection/>
    </xf>
    <xf numFmtId="0" fontId="7" fillId="0" borderId="6" xfId="179" applyFont="1" applyFill="1" applyBorder="1" applyAlignment="1">
      <alignment horizontal="center" vertical="center" wrapText="1"/>
      <protection/>
    </xf>
    <xf numFmtId="166" fontId="7" fillId="0" borderId="1" xfId="179" applyNumberFormat="1" applyFont="1" applyBorder="1" applyAlignment="1">
      <alignment horizontal="center" vertical="center" wrapText="1"/>
      <protection/>
    </xf>
    <xf numFmtId="49" fontId="7" fillId="0" borderId="1" xfId="179" applyNumberFormat="1" applyFont="1" applyFill="1" applyBorder="1" applyAlignment="1">
      <alignment horizontal="center" vertical="center" wrapText="1"/>
      <protection/>
    </xf>
    <xf numFmtId="0" fontId="15" fillId="0" borderId="0" xfId="179" applyFont="1">
      <alignment/>
      <protection/>
    </xf>
    <xf numFmtId="0" fontId="16" fillId="0" borderId="1" xfId="181" applyFont="1" applyBorder="1" applyAlignment="1">
      <alignment horizontal="left" vertical="center" wrapText="1"/>
      <protection/>
    </xf>
    <xf numFmtId="0" fontId="16" fillId="0" borderId="1" xfId="181" applyFont="1" applyBorder="1" applyAlignment="1">
      <alignment horizontal="center" vertical="center" wrapText="1"/>
      <protection/>
    </xf>
    <xf numFmtId="166" fontId="3" fillId="0" borderId="4" xfId="179" applyNumberFormat="1" applyFont="1" applyBorder="1" applyAlignment="1">
      <alignment horizontal="center" vertical="center" wrapText="1"/>
      <protection/>
    </xf>
    <xf numFmtId="49" fontId="3" fillId="0" borderId="1" xfId="179" applyNumberFormat="1" applyFont="1" applyBorder="1" applyAlignment="1">
      <alignment horizontal="center" vertical="center" wrapText="1"/>
      <protection/>
    </xf>
    <xf numFmtId="0" fontId="16" fillId="0" borderId="1" xfId="181" applyFont="1" applyFill="1" applyBorder="1" applyAlignment="1">
      <alignment horizontal="left" vertical="center" wrapText="1"/>
      <protection/>
    </xf>
    <xf numFmtId="0" fontId="16" fillId="0" borderId="6" xfId="181" applyFont="1" applyFill="1" applyBorder="1" applyAlignment="1">
      <alignment vertical="center" wrapText="1"/>
      <protection/>
    </xf>
    <xf numFmtId="0" fontId="3" fillId="0" borderId="1" xfId="180" applyFont="1" applyBorder="1" applyAlignment="1">
      <alignment horizontal="left" vertical="center" wrapText="1"/>
      <protection/>
    </xf>
    <xf numFmtId="0" fontId="3" fillId="0" borderId="6" xfId="180" applyFont="1" applyBorder="1" applyAlignment="1">
      <alignment horizontal="center" vertical="center" wrapText="1"/>
      <protection/>
    </xf>
    <xf numFmtId="166" fontId="3" fillId="0" borderId="6" xfId="179" applyNumberFormat="1" applyFont="1" applyBorder="1" applyAlignment="1">
      <alignment horizontal="center" vertical="center" wrapText="1"/>
      <protection/>
    </xf>
    <xf numFmtId="166" fontId="3" fillId="0" borderId="1" xfId="179" applyNumberFormat="1" applyFont="1" applyBorder="1" applyAlignment="1">
      <alignment horizontal="center" vertical="center" wrapText="1"/>
      <protection/>
    </xf>
    <xf numFmtId="166" fontId="3" fillId="0" borderId="1" xfId="179" applyNumberFormat="1" applyFont="1" applyFill="1" applyBorder="1" applyAlignment="1">
      <alignment horizontal="center" vertical="center" wrapText="1"/>
      <protection/>
    </xf>
    <xf numFmtId="0" fontId="7" fillId="0" borderId="1" xfId="179" applyFont="1" applyBorder="1" applyAlignment="1">
      <alignment horizontal="left" vertical="center" wrapText="1"/>
      <protection/>
    </xf>
    <xf numFmtId="0" fontId="7" fillId="0" borderId="1" xfId="179" applyFont="1" applyBorder="1" applyAlignment="1">
      <alignment horizontal="center" vertical="center" wrapText="1"/>
      <protection/>
    </xf>
    <xf numFmtId="49" fontId="7" fillId="0" borderId="1" xfId="179" applyNumberFormat="1" applyFont="1" applyBorder="1" applyAlignment="1">
      <alignment horizontal="center" vertical="center" wrapText="1"/>
      <protection/>
    </xf>
    <xf numFmtId="0" fontId="3" fillId="0" borderId="0" xfId="179" applyFont="1" applyBorder="1" applyAlignment="1">
      <alignment horizontal="left" vertical="center" wrapText="1"/>
      <protection/>
    </xf>
    <xf numFmtId="0" fontId="3" fillId="0" borderId="0" xfId="179" applyFont="1" applyBorder="1" applyAlignment="1">
      <alignment horizontal="center" vertical="center" wrapText="1"/>
      <protection/>
    </xf>
    <xf numFmtId="166" fontId="3" fillId="0" borderId="0" xfId="179" applyNumberFormat="1" applyFont="1" applyFill="1" applyBorder="1" applyAlignment="1">
      <alignment horizontal="center" vertical="center" wrapText="1"/>
      <protection/>
    </xf>
    <xf numFmtId="166" fontId="7" fillId="0" borderId="0" xfId="179" applyNumberFormat="1" applyFont="1" applyBorder="1" applyAlignment="1">
      <alignment horizontal="center" vertical="center" wrapText="1"/>
      <protection/>
    </xf>
    <xf numFmtId="49" fontId="3" fillId="0" borderId="0" xfId="179" applyNumberFormat="1" applyFont="1" applyBorder="1" applyAlignment="1">
      <alignment horizontal="center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0" xfId="182" applyFont="1" applyAlignment="1">
      <alignment horizontal="justify" vertical="top" wrapText="1"/>
      <protection/>
    </xf>
    <xf numFmtId="169" fontId="3" fillId="0" borderId="0" xfId="109" applyNumberFormat="1" applyFont="1" applyAlignment="1">
      <alignment vertical="top" wrapText="1"/>
    </xf>
    <xf numFmtId="0" fontId="3" fillId="0" borderId="0" xfId="182" applyFont="1" applyAlignment="1">
      <alignment horizontal="right" vertical="top" wrapText="1"/>
      <protection/>
    </xf>
    <xf numFmtId="0" fontId="3" fillId="0" borderId="0" xfId="182" applyFont="1" applyAlignment="1">
      <alignment vertical="top" wrapText="1"/>
      <protection/>
    </xf>
    <xf numFmtId="0" fontId="3" fillId="0" borderId="0" xfId="182" applyFont="1" applyAlignment="1">
      <alignment vertical="top"/>
      <protection/>
    </xf>
    <xf numFmtId="0" fontId="3" fillId="0" borderId="0" xfId="182" applyFont="1" applyAlignment="1">
      <alignment horizontal="center" vertical="top" wrapText="1"/>
      <protection/>
    </xf>
    <xf numFmtId="0" fontId="3" fillId="0" borderId="0" xfId="182" applyFont="1" applyAlignment="1">
      <alignment horizontal="center" vertical="center" wrapText="1"/>
      <protection/>
    </xf>
    <xf numFmtId="0" fontId="3" fillId="0" borderId="1" xfId="182" applyFont="1" applyBorder="1" applyAlignment="1">
      <alignment horizontal="center" vertical="center" wrapText="1"/>
      <protection/>
    </xf>
    <xf numFmtId="0" fontId="3" fillId="0" borderId="1" xfId="182" applyFont="1" applyFill="1" applyBorder="1" applyAlignment="1">
      <alignment horizontal="left" vertical="center" wrapText="1" indent="1"/>
      <protection/>
    </xf>
    <xf numFmtId="166" fontId="3" fillId="0" borderId="1" xfId="182" applyNumberFormat="1" applyFont="1" applyBorder="1" applyAlignment="1">
      <alignment horizontal="center" vertical="center" wrapText="1"/>
      <protection/>
    </xf>
    <xf numFmtId="0" fontId="7" fillId="0" borderId="1" xfId="182" applyFont="1" applyBorder="1" applyAlignment="1">
      <alignment horizontal="left" vertical="center" wrapText="1" indent="1"/>
      <protection/>
    </xf>
    <xf numFmtId="166" fontId="7" fillId="0" borderId="1" xfId="182" applyNumberFormat="1" applyFont="1" applyBorder="1" applyAlignment="1">
      <alignment horizontal="center" vertical="center" wrapText="1"/>
      <protection/>
    </xf>
    <xf numFmtId="0" fontId="3" fillId="0" borderId="1" xfId="182" applyFont="1" applyFill="1" applyBorder="1" applyAlignment="1">
      <alignment horizontal="center" vertical="center" wrapText="1"/>
      <protection/>
    </xf>
    <xf numFmtId="166" fontId="3" fillId="0" borderId="1" xfId="182" applyNumberFormat="1" applyFont="1" applyFill="1" applyBorder="1" applyAlignment="1">
      <alignment horizontal="center" vertical="center" wrapText="1"/>
      <protection/>
    </xf>
    <xf numFmtId="0" fontId="3" fillId="0" borderId="1" xfId="182" applyFont="1" applyFill="1" applyBorder="1" applyAlignment="1">
      <alignment horizontal="left" vertical="top" wrapText="1"/>
      <protection/>
    </xf>
    <xf numFmtId="0" fontId="7" fillId="0" borderId="1" xfId="182" applyFont="1" applyFill="1" applyBorder="1" applyAlignment="1">
      <alignment horizontal="left" vertical="top" wrapText="1" indent="1"/>
      <protection/>
    </xf>
    <xf numFmtId="166" fontId="7" fillId="0" borderId="1" xfId="182" applyNumberFormat="1" applyFont="1" applyFill="1" applyBorder="1" applyAlignment="1">
      <alignment horizontal="center" vertical="top" wrapText="1"/>
      <protection/>
    </xf>
    <xf numFmtId="0" fontId="3" fillId="0" borderId="6" xfId="182" applyFont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left" vertical="center" wrapText="1"/>
      <protection/>
    </xf>
    <xf numFmtId="0" fontId="5" fillId="0" borderId="5" xfId="31" applyNumberFormat="1" applyFont="1" applyFill="1" applyBorder="1" applyAlignment="1">
      <alignment vertical="center" wrapText="1"/>
      <protection/>
    </xf>
    <xf numFmtId="167" fontId="8" fillId="0" borderId="5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183" applyNumberFormat="1" applyFont="1" applyAlignment="1">
      <alignment horizontal="center" vertical="center"/>
      <protection/>
    </xf>
    <xf numFmtId="0" fontId="3" fillId="0" borderId="0" xfId="183" applyFont="1" applyAlignment="1">
      <alignment vertical="center"/>
      <protection/>
    </xf>
    <xf numFmtId="0" fontId="18" fillId="0" borderId="0" xfId="183" applyFont="1">
      <alignment/>
      <protection/>
    </xf>
    <xf numFmtId="0" fontId="3" fillId="0" borderId="0" xfId="183" applyFont="1" applyAlignment="1">
      <alignment horizontal="right" vertical="center"/>
      <protection/>
    </xf>
    <xf numFmtId="0" fontId="3" fillId="0" borderId="0" xfId="183" applyFont="1" applyAlignment="1">
      <alignment horizontal="left" vertical="center" wrapText="1"/>
      <protection/>
    </xf>
    <xf numFmtId="0" fontId="3" fillId="0" borderId="0" xfId="183" applyFont="1">
      <alignment/>
      <protection/>
    </xf>
    <xf numFmtId="0" fontId="7" fillId="0" borderId="0" xfId="183" applyFont="1" applyAlignment="1">
      <alignment horizontal="center" vertical="center" wrapText="1"/>
      <protection/>
    </xf>
    <xf numFmtId="49" fontId="7" fillId="0" borderId="1" xfId="184" applyNumberFormat="1" applyFont="1" applyBorder="1" applyAlignment="1">
      <alignment horizontal="center" vertical="center" wrapText="1"/>
      <protection/>
    </xf>
    <xf numFmtId="0" fontId="7" fillId="0" borderId="1" xfId="184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49" fontId="7" fillId="0" borderId="1" xfId="183" applyNumberFormat="1" applyFont="1" applyBorder="1" applyAlignment="1">
      <alignment horizontal="center" vertical="center"/>
      <protection/>
    </xf>
    <xf numFmtId="0" fontId="7" fillId="0" borderId="1" xfId="183" applyFont="1" applyBorder="1" applyAlignment="1">
      <alignment horizontal="justify" vertical="center" wrapText="1"/>
      <protection/>
    </xf>
    <xf numFmtId="167" fontId="7" fillId="0" borderId="1" xfId="183" applyNumberFormat="1" applyFont="1" applyBorder="1" applyAlignment="1">
      <alignment horizontal="center" vertical="center"/>
      <protection/>
    </xf>
    <xf numFmtId="49" fontId="3" fillId="0" borderId="1" xfId="183" applyNumberFormat="1" applyFont="1" applyBorder="1" applyAlignment="1">
      <alignment horizontal="center" vertical="center"/>
      <protection/>
    </xf>
    <xf numFmtId="0" fontId="3" fillId="0" borderId="1" xfId="183" applyFont="1" applyBorder="1" applyAlignment="1">
      <alignment horizontal="justify" vertical="center" wrapText="1"/>
      <protection/>
    </xf>
    <xf numFmtId="167" fontId="3" fillId="0" borderId="1" xfId="183" applyNumberFormat="1" applyFont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83" applyNumberFormat="1" applyFont="1" applyBorder="1" applyAlignment="1">
      <alignment horizontal="center" vertical="center" wrapText="1"/>
      <protection/>
    </xf>
    <xf numFmtId="0" fontId="3" fillId="0" borderId="1" xfId="183" applyFont="1" applyBorder="1" applyAlignment="1">
      <alignment horizontal="center" vertical="center"/>
      <protection/>
    </xf>
    <xf numFmtId="0" fontId="3" fillId="0" borderId="1" xfId="183" applyFont="1" applyBorder="1" applyAlignment="1">
      <alignment horizontal="left" vertical="center" wrapText="1"/>
      <protection/>
    </xf>
    <xf numFmtId="0" fontId="7" fillId="0" borderId="1" xfId="183" applyFont="1" applyBorder="1" applyAlignment="1">
      <alignment horizontal="center" vertical="center"/>
      <protection/>
    </xf>
    <xf numFmtId="0" fontId="12" fillId="0" borderId="0" xfId="183" applyFont="1">
      <alignment/>
      <protection/>
    </xf>
    <xf numFmtId="49" fontId="3" fillId="0" borderId="1" xfId="183" applyNumberFormat="1" applyFont="1" applyBorder="1" applyAlignment="1">
      <alignment horizontal="center" vertical="center" wrapText="1"/>
      <protection/>
    </xf>
    <xf numFmtId="0" fontId="7" fillId="0" borderId="1" xfId="185" applyFont="1" applyBorder="1" applyAlignment="1">
      <alignment horizontal="center" vertical="center"/>
      <protection/>
    </xf>
    <xf numFmtId="0" fontId="7" fillId="0" borderId="1" xfId="185" applyFont="1" applyBorder="1" applyAlignment="1">
      <alignment horizontal="justify" vertical="center" wrapText="1"/>
      <protection/>
    </xf>
    <xf numFmtId="49" fontId="3" fillId="0" borderId="1" xfId="186" applyNumberFormat="1" applyFont="1" applyBorder="1" applyAlignment="1">
      <alignment horizontal="center" vertical="center" wrapText="1"/>
      <protection/>
    </xf>
    <xf numFmtId="0" fontId="3" fillId="0" borderId="1" xfId="183" applyFont="1" applyBorder="1" applyAlignment="1">
      <alignment horizontal="center" vertical="center" wrapText="1"/>
      <protection/>
    </xf>
    <xf numFmtId="49" fontId="3" fillId="0" borderId="1" xfId="187" applyNumberFormat="1" applyFont="1" applyBorder="1" applyAlignment="1">
      <alignment horizontal="center" vertical="center"/>
      <protection/>
    </xf>
    <xf numFmtId="0" fontId="3" fillId="0" borderId="1" xfId="187" applyFont="1" applyBorder="1" applyAlignment="1">
      <alignment horizontal="justify" vertical="center" wrapText="1"/>
      <protection/>
    </xf>
    <xf numFmtId="49" fontId="3" fillId="0" borderId="1" xfId="185" applyNumberFormat="1" applyFont="1" applyBorder="1" applyAlignment="1">
      <alignment horizontal="center" vertical="center"/>
      <protection/>
    </xf>
    <xf numFmtId="0" fontId="3" fillId="0" borderId="1" xfId="185" applyFont="1" applyBorder="1" applyAlignment="1">
      <alignment horizontal="justify" vertical="center" wrapText="1"/>
      <protection/>
    </xf>
    <xf numFmtId="49" fontId="3" fillId="0" borderId="1" xfId="187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188" applyFont="1" applyBorder="1" applyAlignment="1">
      <alignment horizontal="justify" vertical="center" wrapText="1"/>
      <protection/>
    </xf>
    <xf numFmtId="0" fontId="18" fillId="0" borderId="0" xfId="183" applyFont="1" applyAlignment="1">
      <alignment wrapText="1"/>
      <protection/>
    </xf>
    <xf numFmtId="49" fontId="7" fillId="0" borderId="1" xfId="188" applyNumberFormat="1" applyFont="1" applyBorder="1" applyAlignment="1">
      <alignment horizontal="center" vertical="center"/>
      <protection/>
    </xf>
    <xf numFmtId="0" fontId="7" fillId="0" borderId="1" xfId="188" applyFont="1" applyBorder="1" applyAlignment="1">
      <alignment horizontal="justify" vertical="center" wrapText="1"/>
      <protection/>
    </xf>
    <xf numFmtId="0" fontId="3" fillId="0" borderId="1" xfId="186" applyFont="1" applyBorder="1" applyAlignment="1">
      <alignment vertical="center" wrapText="1"/>
      <protection/>
    </xf>
    <xf numFmtId="0" fontId="7" fillId="0" borderId="1" xfId="186" applyFont="1" applyBorder="1" applyAlignment="1">
      <alignment vertical="center" wrapText="1"/>
      <protection/>
    </xf>
    <xf numFmtId="0" fontId="7" fillId="0" borderId="1" xfId="183" applyFont="1" applyBorder="1" applyAlignment="1">
      <alignment horizontal="left" vertical="center" wrapText="1"/>
      <protection/>
    </xf>
    <xf numFmtId="2" fontId="3" fillId="0" borderId="0" xfId="183" applyNumberFormat="1" applyFont="1">
      <alignment/>
      <protection/>
    </xf>
    <xf numFmtId="4" fontId="3" fillId="0" borderId="0" xfId="183" applyNumberFormat="1" applyFont="1">
      <alignment/>
      <protection/>
    </xf>
    <xf numFmtId="0" fontId="3" fillId="0" borderId="0" xfId="189" applyFont="1" applyFill="1" applyAlignment="1">
      <alignment horizontal="center" vertical="center" wrapText="1"/>
      <protection/>
    </xf>
    <xf numFmtId="0" fontId="3" fillId="0" borderId="0" xfId="189" applyFont="1" applyFill="1" applyAlignment="1">
      <alignment/>
      <protection/>
    </xf>
    <xf numFmtId="0" fontId="7" fillId="0" borderId="1" xfId="189" applyFont="1" applyFill="1" applyBorder="1" applyAlignment="1">
      <alignment horizontal="center" vertical="center" wrapText="1"/>
      <protection/>
    </xf>
    <xf numFmtId="0" fontId="7" fillId="0" borderId="0" xfId="189" applyFont="1" applyFill="1" applyAlignment="1">
      <alignment/>
      <protection/>
    </xf>
    <xf numFmtId="0" fontId="10" fillId="0" borderId="1" xfId="189" applyFont="1" applyFill="1" applyBorder="1" applyAlignment="1">
      <alignment horizontal="center" vertical="center" wrapText="1"/>
      <protection/>
    </xf>
    <xf numFmtId="0" fontId="3" fillId="0" borderId="1" xfId="189" applyFont="1" applyFill="1" applyBorder="1" applyAlignment="1">
      <alignment horizontal="justify" vertical="center" wrapText="1"/>
      <protection/>
    </xf>
    <xf numFmtId="2" fontId="3" fillId="0" borderId="1" xfId="189" applyNumberFormat="1" applyFont="1" applyFill="1" applyBorder="1" applyAlignment="1">
      <alignment horizontal="center" vertical="center" shrinkToFit="1"/>
      <protection/>
    </xf>
    <xf numFmtId="167" fontId="3" fillId="0" borderId="1" xfId="189" applyNumberFormat="1" applyFont="1" applyFill="1" applyBorder="1" applyAlignment="1">
      <alignment horizontal="center" vertical="center" shrinkToFit="1"/>
      <protection/>
    </xf>
    <xf numFmtId="0" fontId="13" fillId="0" borderId="1" xfId="189" applyFont="1" applyFill="1" applyBorder="1" applyAlignment="1">
      <alignment horizontal="center" vertical="center" wrapText="1"/>
      <protection/>
    </xf>
    <xf numFmtId="0" fontId="19" fillId="0" borderId="0" xfId="190" applyFont="1" applyFill="1">
      <alignment/>
      <protection/>
    </xf>
    <xf numFmtId="0" fontId="3" fillId="0" borderId="1" xfId="184" applyNumberFormat="1" applyFont="1" applyFill="1" applyBorder="1" applyAlignment="1" applyProtection="1">
      <alignment horizontal="justify" vertical="center" wrapText="1"/>
      <protection/>
    </xf>
    <xf numFmtId="0" fontId="3" fillId="0" borderId="1" xfId="184" applyNumberFormat="1" applyFont="1" applyFill="1" applyBorder="1" applyAlignment="1" applyProtection="1">
      <alignment horizontal="center" vertical="center"/>
      <protection/>
    </xf>
    <xf numFmtId="167" fontId="3" fillId="0" borderId="1" xfId="189" applyNumberFormat="1" applyFont="1" applyFill="1" applyBorder="1" applyAlignment="1">
      <alignment horizontal="center" vertical="center" wrapText="1"/>
      <protection/>
    </xf>
    <xf numFmtId="0" fontId="3" fillId="0" borderId="1" xfId="191" applyNumberFormat="1" applyFont="1" applyFill="1" applyBorder="1" applyAlignment="1" applyProtection="1">
      <alignment horizontal="justify" vertical="center" wrapText="1"/>
      <protection/>
    </xf>
    <xf numFmtId="49" fontId="3" fillId="0" borderId="1" xfId="191" applyNumberFormat="1" applyFont="1" applyFill="1" applyBorder="1" applyAlignment="1">
      <alignment horizontal="center" vertical="center" wrapText="1"/>
      <protection/>
    </xf>
    <xf numFmtId="49" fontId="3" fillId="0" borderId="1" xfId="184" applyNumberFormat="1" applyFont="1" applyFill="1" applyBorder="1" applyAlignment="1">
      <alignment horizontal="center" vertical="center"/>
      <protection/>
    </xf>
    <xf numFmtId="0" fontId="3" fillId="0" borderId="1" xfId="189" applyNumberFormat="1" applyFont="1" applyFill="1" applyBorder="1" applyAlignment="1" applyProtection="1">
      <alignment horizontal="justify" vertical="center" wrapText="1"/>
      <protection/>
    </xf>
    <xf numFmtId="49" fontId="3" fillId="0" borderId="1" xfId="189" applyNumberFormat="1" applyFont="1" applyFill="1" applyBorder="1" applyAlignment="1">
      <alignment horizontal="center" vertical="center" shrinkToFit="1"/>
      <protection/>
    </xf>
    <xf numFmtId="49" fontId="3" fillId="0" borderId="1" xfId="189" applyNumberFormat="1" applyFont="1" applyFill="1" applyBorder="1" applyAlignment="1">
      <alignment horizontal="justify" vertical="center" wrapText="1"/>
      <protection/>
    </xf>
    <xf numFmtId="4" fontId="7" fillId="0" borderId="0" xfId="189" applyNumberFormat="1" applyFont="1" applyFill="1" applyAlignment="1">
      <alignment/>
      <protection/>
    </xf>
    <xf numFmtId="49" fontId="7" fillId="0" borderId="1" xfId="189" applyNumberFormat="1" applyFont="1" applyFill="1" applyBorder="1" applyAlignment="1">
      <alignment horizontal="center" vertical="center" shrinkToFit="1"/>
      <protection/>
    </xf>
    <xf numFmtId="49" fontId="13" fillId="0" borderId="1" xfId="189" applyNumberFormat="1" applyFont="1" applyFill="1" applyBorder="1" applyAlignment="1">
      <alignment horizontal="center" vertical="center" shrinkToFit="1"/>
      <protection/>
    </xf>
    <xf numFmtId="167" fontId="3" fillId="0" borderId="1" xfId="184" applyNumberFormat="1" applyFont="1" applyFill="1" applyBorder="1" applyAlignment="1">
      <alignment horizontal="center" vertical="center"/>
      <protection/>
    </xf>
    <xf numFmtId="4" fontId="3" fillId="0" borderId="0" xfId="189" applyNumberFormat="1" applyFont="1" applyFill="1" applyAlignment="1">
      <alignment/>
      <protection/>
    </xf>
    <xf numFmtId="49" fontId="10" fillId="0" borderId="1" xfId="189" applyNumberFormat="1" applyFont="1" applyFill="1" applyBorder="1" applyAlignment="1">
      <alignment horizontal="center" vertical="center" shrinkToFit="1"/>
      <protection/>
    </xf>
    <xf numFmtId="167" fontId="3" fillId="0" borderId="0" xfId="189" applyNumberFormat="1" applyFont="1" applyFill="1" applyAlignment="1">
      <alignment/>
      <protection/>
    </xf>
    <xf numFmtId="0" fontId="3" fillId="0" borderId="0" xfId="189" applyFont="1" applyFill="1" applyAlignment="1">
      <alignment horizontal="center" vertical="center"/>
      <protection/>
    </xf>
    <xf numFmtId="0" fontId="13" fillId="0" borderId="0" xfId="189" applyFont="1" applyFill="1" applyAlignment="1">
      <alignment/>
      <protection/>
    </xf>
    <xf numFmtId="167" fontId="13" fillId="0" borderId="0" xfId="189" applyNumberFormat="1" applyFont="1" applyFill="1" applyAlignment="1">
      <alignment/>
      <protection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wrapText="1"/>
    </xf>
    <xf numFmtId="0" fontId="3" fillId="0" borderId="0" xfId="183" applyFont="1" applyAlignment="1">
      <alignment horizontal="center" vertical="center"/>
      <protection/>
    </xf>
    <xf numFmtId="0" fontId="3" fillId="0" borderId="1" xfId="185" applyFont="1" applyBorder="1" applyAlignment="1">
      <alignment horizontal="left" vertical="center" wrapText="1"/>
      <protection/>
    </xf>
    <xf numFmtId="0" fontId="3" fillId="0" borderId="1" xfId="186" applyFont="1" applyBorder="1" applyAlignment="1">
      <alignment horizontal="center" vertical="center"/>
      <protection/>
    </xf>
    <xf numFmtId="0" fontId="7" fillId="0" borderId="1" xfId="186" applyFont="1" applyBorder="1" applyAlignment="1">
      <alignment horizontal="center" vertical="center"/>
      <protection/>
    </xf>
    <xf numFmtId="0" fontId="18" fillId="0" borderId="0" xfId="183" applyFont="1" applyAlignment="1">
      <alignment vertical="center"/>
      <protection/>
    </xf>
    <xf numFmtId="0" fontId="3" fillId="0" borderId="1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18" fillId="0" borderId="0" xfId="183" applyNumberFormat="1" applyFont="1">
      <alignment/>
      <protection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183" applyFont="1" applyAlignment="1">
      <alignment horizontal="right" vertical="center" wrapText="1"/>
      <protection/>
    </xf>
    <xf numFmtId="0" fontId="3" fillId="0" borderId="0" xfId="183" applyFont="1" applyAlignment="1">
      <alignment horizontal="right" vertical="center"/>
      <protection/>
    </xf>
    <xf numFmtId="0" fontId="7" fillId="0" borderId="0" xfId="183" applyFont="1" applyAlignment="1">
      <alignment horizontal="center" vertical="center" wrapText="1"/>
      <protection/>
    </xf>
    <xf numFmtId="0" fontId="7" fillId="0" borderId="1" xfId="189" applyFont="1" applyFill="1" applyBorder="1" applyAlignment="1">
      <alignment horizontal="center" vertical="top" wrapText="1"/>
      <protection/>
    </xf>
    <xf numFmtId="0" fontId="7" fillId="0" borderId="1" xfId="189" applyFont="1" applyFill="1" applyBorder="1" applyAlignment="1">
      <alignment horizontal="center" vertical="center" wrapText="1"/>
      <protection/>
    </xf>
    <xf numFmtId="0" fontId="3" fillId="0" borderId="0" xfId="189" applyFont="1" applyFill="1" applyAlignment="1">
      <alignment horizontal="right"/>
      <protection/>
    </xf>
    <xf numFmtId="0" fontId="7" fillId="0" borderId="0" xfId="189" applyFont="1" applyFill="1" applyAlignment="1">
      <alignment horizontal="center" wrapText="1"/>
      <protection/>
    </xf>
    <xf numFmtId="0" fontId="3" fillId="0" borderId="1" xfId="189" applyFont="1" applyFill="1" applyBorder="1" applyAlignment="1">
      <alignment horizontal="center" vertical="center" wrapText="1"/>
      <protection/>
    </xf>
    <xf numFmtId="167" fontId="3" fillId="0" borderId="1" xfId="189" applyNumberFormat="1" applyFont="1" applyFill="1" applyBorder="1" applyAlignment="1">
      <alignment horizontal="center" vertical="center" wrapText="1"/>
      <protection/>
    </xf>
    <xf numFmtId="0" fontId="8" fillId="0" borderId="1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15" xfId="31" applyNumberFormat="1" applyFont="1" applyFill="1" applyBorder="1" applyAlignment="1">
      <alignment horizontal="center" vertical="center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179" applyFont="1" applyBorder="1" applyAlignment="1">
      <alignment horizontal="center" vertical="center" wrapText="1"/>
      <protection/>
    </xf>
    <xf numFmtId="0" fontId="3" fillId="0" borderId="13" xfId="179" applyFont="1" applyBorder="1" applyAlignment="1">
      <alignment horizontal="center" vertical="center" wrapText="1"/>
      <protection/>
    </xf>
    <xf numFmtId="0" fontId="3" fillId="0" borderId="7" xfId="179" applyFont="1" applyBorder="1" applyAlignment="1">
      <alignment horizontal="center" vertical="center" wrapText="1"/>
      <protection/>
    </xf>
    <xf numFmtId="0" fontId="7" fillId="0" borderId="0" xfId="179" applyFont="1" applyAlignment="1">
      <alignment horizontal="center"/>
      <protection/>
    </xf>
    <xf numFmtId="0" fontId="3" fillId="0" borderId="1" xfId="179" applyFont="1" applyBorder="1" applyAlignment="1">
      <alignment horizontal="left" vertical="center" wrapText="1"/>
      <protection/>
    </xf>
    <xf numFmtId="0" fontId="3" fillId="0" borderId="1" xfId="179" applyFont="1" applyBorder="1" applyAlignment="1">
      <alignment horizontal="center" vertical="center" wrapText="1"/>
      <protection/>
    </xf>
    <xf numFmtId="0" fontId="3" fillId="0" borderId="0" xfId="182" applyFont="1" applyAlignment="1">
      <alignment horizontal="left" vertical="center" wrapText="1"/>
      <protection/>
    </xf>
    <xf numFmtId="0" fontId="3" fillId="0" borderId="0" xfId="182" applyFont="1" applyAlignment="1">
      <alignment horizontal="right" vertical="top" wrapText="1"/>
      <protection/>
    </xf>
    <xf numFmtId="169" fontId="3" fillId="0" borderId="0" xfId="109" applyNumberFormat="1" applyFont="1" applyAlignment="1">
      <alignment horizontal="right" vertical="top" wrapText="1"/>
    </xf>
    <xf numFmtId="0" fontId="7" fillId="0" borderId="0" xfId="182" applyFont="1" applyAlignment="1">
      <alignment horizontal="center" vertical="top" wrapText="1"/>
      <protection/>
    </xf>
    <xf numFmtId="0" fontId="13" fillId="0" borderId="0" xfId="182" applyFont="1" applyAlignment="1">
      <alignment horizontal="left" vertical="center" wrapText="1"/>
      <protection/>
    </xf>
  </cellXfs>
  <cellStyles count="1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2 2 2 2 2 2" xfId="161"/>
    <cellStyle name="Обычный 4 2 6 2 2 2 2 2" xfId="162"/>
    <cellStyle name="Обычный 16 2 2 2" xfId="163"/>
    <cellStyle name="Обычный 2 8 2 3 3 3 2 2 2 3 2 2 2 2 4 5" xfId="164"/>
    <cellStyle name="Обычный 2 8 7 4 2 2 3 2 2 2 2 4 5" xfId="165"/>
    <cellStyle name="Обычный 2 8 2 3 3 3 2 2 3 2 2 2 3 4" xfId="166"/>
    <cellStyle name="Обычный 2 8 2 3 3 3 2 2 3 2 2 4 5" xfId="167"/>
    <cellStyle name="Обычный 2 8 2 3 3 3 2 2 2 3 2 2 2 2 2 3 4" xfId="168"/>
    <cellStyle name="Обычный 2 8 2 3 3 3 2 2 2 3 2 2 2 2 4 5 2" xfId="169"/>
    <cellStyle name="Обычный 2 8 7 4 2 2 3 2 2 2 2 4 5 2" xfId="170"/>
    <cellStyle name="Обычный 2 8 2 3 3 3 2 2 3 2 2 2 3 4 2" xfId="171"/>
    <cellStyle name="Обычный 2 8 2 3 3 3 2 2 3 2 2 4 5 2" xfId="172"/>
    <cellStyle name="Обычный 2 8 2 3 3 3 2 2 2 3 2 2 2 2 2 3 4 2" xfId="173"/>
    <cellStyle name="Обычный 2 8 2 3 3 3 2 2 2 3 2 2 2 2 4 5 3" xfId="174"/>
    <cellStyle name="Обычный 2 8 7 4 2 2 3 2 2 2 2 4 5 3" xfId="175"/>
    <cellStyle name="Обычный 2 8 2 3 3 3 2 2 3 2 2 2 3 4 3" xfId="176"/>
    <cellStyle name="Обычный 2 8 2 3 3 3 2 2 3 2 2 4 5 3" xfId="177"/>
    <cellStyle name="Обычный 2 8 2 3 3 3 2 2 2 3 2 2 2 2 2 3 4 3" xfId="178"/>
    <cellStyle name="Обычный 2 8 2 3 3 2 2 2 3" xfId="179"/>
    <cellStyle name="Обычный 4 2 6 2 2 3" xfId="180"/>
    <cellStyle name="Обычный 16 3" xfId="181"/>
    <cellStyle name="Обычный_приложение_Программа госзаимствований 2003" xfId="182"/>
    <cellStyle name="Обычный 2 8 2 3 3 3 2 2 2 3 2 2 2 2 4 5 3 2" xfId="183"/>
    <cellStyle name="Обычный 2 8 2 3 3 3 2 2 2 3 2 2 2 2 2 2" xfId="184"/>
    <cellStyle name="Обычный 2 8 7 4 2 2 3 2 2 2 2 4 5 3 2" xfId="185"/>
    <cellStyle name="Обычный 2 8 2 3 3 3 2 2 3 2 2 2 3 4 3 2" xfId="186"/>
    <cellStyle name="Обычный 2 8 2 3 3 3 2 2 3 2 2 4 5 3 2" xfId="187"/>
    <cellStyle name="Обычный 2 8 2 3 3 3 2 2 2 3 2 2 2 2 2 3 4 3 2" xfId="188"/>
    <cellStyle name="Обычный 10 2 2" xfId="189"/>
    <cellStyle name="Обычный 11 2 2" xfId="190"/>
    <cellStyle name="Обычный 2 8 7 3 3 3 2 2 4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1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1%20&#8470;%2028\&#1087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1 АИП"/>
    </sheetNames>
    <sheetDataSet>
      <sheetData sheetId="0"/>
      <sheetData sheetId="1"/>
      <sheetData sheetId="2"/>
      <sheetData sheetId="3">
        <row r="199">
          <cell r="F199">
            <v>31486</v>
          </cell>
        </row>
        <row r="202">
          <cell r="F202">
            <v>318</v>
          </cell>
        </row>
        <row r="501">
          <cell r="F501">
            <v>1957.6</v>
          </cell>
        </row>
        <row r="504">
          <cell r="F504">
            <v>2936.3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6" sqref="A6:D6"/>
    </sheetView>
  </sheetViews>
  <sheetFormatPr defaultColWidth="9.125" defaultRowHeight="12.75"/>
  <cols>
    <col min="1" max="1" width="30.625" style="81" customWidth="1"/>
    <col min="2" max="2" width="49.25390625" style="81" customWidth="1"/>
    <col min="3" max="3" width="13.125" style="89" customWidth="1"/>
    <col min="4" max="4" width="12.625" style="81" customWidth="1"/>
    <col min="5" max="16384" width="9.125" style="81" customWidth="1"/>
  </cols>
  <sheetData>
    <row r="1" spans="1:4" ht="12.75">
      <c r="A1" s="308" t="s">
        <v>308</v>
      </c>
      <c r="B1" s="308"/>
      <c r="C1" s="308"/>
      <c r="D1" s="308"/>
    </row>
    <row r="2" spans="1:4" ht="12.75">
      <c r="A2" s="308" t="s">
        <v>363</v>
      </c>
      <c r="B2" s="308"/>
      <c r="C2" s="308"/>
      <c r="D2" s="308"/>
    </row>
    <row r="3" spans="1:4" ht="12.75">
      <c r="A3" s="308" t="s">
        <v>1090</v>
      </c>
      <c r="B3" s="308"/>
      <c r="C3" s="308"/>
      <c r="D3" s="308"/>
    </row>
    <row r="5" spans="1:4" ht="12.75">
      <c r="A5" s="307" t="s">
        <v>309</v>
      </c>
      <c r="B5" s="307"/>
      <c r="C5" s="307"/>
      <c r="D5" s="307"/>
    </row>
    <row r="6" spans="1:4" ht="12.75">
      <c r="A6" s="307" t="s">
        <v>401</v>
      </c>
      <c r="B6" s="307"/>
      <c r="C6" s="307"/>
      <c r="D6" s="307"/>
    </row>
    <row r="8" spans="1:4" ht="47.25">
      <c r="A8" s="153" t="s">
        <v>310</v>
      </c>
      <c r="B8" s="154" t="s">
        <v>18</v>
      </c>
      <c r="C8" s="155" t="s">
        <v>402</v>
      </c>
      <c r="D8" s="11" t="s">
        <v>403</v>
      </c>
    </row>
    <row r="9" spans="1:4" ht="12.75">
      <c r="A9" s="91" t="s">
        <v>3</v>
      </c>
      <c r="B9" s="92">
        <v>2</v>
      </c>
      <c r="C9" s="92">
        <v>3</v>
      </c>
      <c r="D9" s="82">
        <v>4</v>
      </c>
    </row>
    <row r="10" spans="1:4" ht="31.5">
      <c r="A10" s="83" t="s">
        <v>311</v>
      </c>
      <c r="B10" s="84" t="s">
        <v>350</v>
      </c>
      <c r="C10" s="85">
        <f>C11</f>
        <v>-26930.8</v>
      </c>
      <c r="D10" s="85">
        <f aca="true" t="shared" si="0" ref="D10:D13">D11</f>
        <v>-26930.8</v>
      </c>
    </row>
    <row r="11" spans="1:4" ht="47.25">
      <c r="A11" s="80" t="s">
        <v>351</v>
      </c>
      <c r="B11" s="43" t="s">
        <v>352</v>
      </c>
      <c r="C11" s="86">
        <f>C12</f>
        <v>-26930.8</v>
      </c>
      <c r="D11" s="86">
        <f t="shared" si="0"/>
        <v>-26930.8</v>
      </c>
    </row>
    <row r="12" spans="1:4" ht="63">
      <c r="A12" s="80" t="s">
        <v>312</v>
      </c>
      <c r="B12" s="43" t="s">
        <v>353</v>
      </c>
      <c r="C12" s="86">
        <f>C13</f>
        <v>-26930.8</v>
      </c>
      <c r="D12" s="86">
        <f t="shared" si="0"/>
        <v>-26930.8</v>
      </c>
    </row>
    <row r="13" spans="1:4" ht="63">
      <c r="A13" s="80" t="s">
        <v>354</v>
      </c>
      <c r="B13" s="43" t="s">
        <v>355</v>
      </c>
      <c r="C13" s="86">
        <f>C14</f>
        <v>-26930.8</v>
      </c>
      <c r="D13" s="86">
        <f t="shared" si="0"/>
        <v>-26930.8</v>
      </c>
    </row>
    <row r="14" spans="1:4" ht="63">
      <c r="A14" s="80" t="s">
        <v>313</v>
      </c>
      <c r="B14" s="43" t="s">
        <v>314</v>
      </c>
      <c r="C14" s="86">
        <f>-12930.8-14000</f>
        <v>-26930.8</v>
      </c>
      <c r="D14" s="86">
        <v>-26930.8</v>
      </c>
    </row>
    <row r="15" spans="1:4" ht="31.5">
      <c r="A15" s="83" t="s">
        <v>315</v>
      </c>
      <c r="B15" s="84" t="s">
        <v>356</v>
      </c>
      <c r="C15" s="85">
        <v>28198.7</v>
      </c>
      <c r="D15" s="85">
        <f aca="true" t="shared" si="1" ref="D15">D16+D20</f>
        <v>-23628.29999999993</v>
      </c>
    </row>
    <row r="16" spans="1:4" ht="12.75">
      <c r="A16" s="80" t="s">
        <v>316</v>
      </c>
      <c r="B16" s="43" t="s">
        <v>317</v>
      </c>
      <c r="C16" s="86">
        <f aca="true" t="shared" si="2" ref="C16:D18">C17</f>
        <v>-973510.6</v>
      </c>
      <c r="D16" s="86">
        <f t="shared" si="2"/>
        <v>-998586.1</v>
      </c>
    </row>
    <row r="17" spans="1:4" ht="31.5">
      <c r="A17" s="80" t="s">
        <v>318</v>
      </c>
      <c r="B17" s="43" t="s">
        <v>319</v>
      </c>
      <c r="C17" s="86">
        <f>C18</f>
        <v>-973510.6</v>
      </c>
      <c r="D17" s="86">
        <f t="shared" si="2"/>
        <v>-998586.1</v>
      </c>
    </row>
    <row r="18" spans="1:4" ht="31.5">
      <c r="A18" s="80" t="s">
        <v>357</v>
      </c>
      <c r="B18" s="43" t="s">
        <v>358</v>
      </c>
      <c r="C18" s="86">
        <f>C19</f>
        <v>-973510.6</v>
      </c>
      <c r="D18" s="86">
        <f t="shared" si="2"/>
        <v>-998586.1</v>
      </c>
    </row>
    <row r="19" spans="1:4" ht="31.5">
      <c r="A19" s="80" t="s">
        <v>320</v>
      </c>
      <c r="B19" s="43" t="s">
        <v>321</v>
      </c>
      <c r="C19" s="86">
        <f>-971032.1-2478.5</f>
        <v>-973510.6</v>
      </c>
      <c r="D19" s="223">
        <v>-998586.1</v>
      </c>
    </row>
    <row r="20" spans="1:4" ht="12.75">
      <c r="A20" s="80" t="s">
        <v>322</v>
      </c>
      <c r="B20" s="43" t="s">
        <v>323</v>
      </c>
      <c r="C20" s="86">
        <f aca="true" t="shared" si="3" ref="C20:D22">C21</f>
        <v>1002998.3</v>
      </c>
      <c r="D20" s="86">
        <f t="shared" si="3"/>
        <v>974957.8</v>
      </c>
    </row>
    <row r="21" spans="1:4" ht="31.5">
      <c r="A21" s="80" t="s">
        <v>324</v>
      </c>
      <c r="B21" s="43" t="s">
        <v>325</v>
      </c>
      <c r="C21" s="86">
        <f>C22</f>
        <v>1002998.3</v>
      </c>
      <c r="D21" s="86">
        <f t="shared" si="3"/>
        <v>974957.8</v>
      </c>
    </row>
    <row r="22" spans="1:4" ht="31.5">
      <c r="A22" s="80" t="s">
        <v>359</v>
      </c>
      <c r="B22" s="43" t="s">
        <v>360</v>
      </c>
      <c r="C22" s="86">
        <f>C23</f>
        <v>1002998.3</v>
      </c>
      <c r="D22" s="86">
        <f t="shared" si="3"/>
        <v>974957.8</v>
      </c>
    </row>
    <row r="23" spans="1:4" ht="31.5">
      <c r="A23" s="80" t="s">
        <v>326</v>
      </c>
      <c r="B23" s="43" t="s">
        <v>327</v>
      </c>
      <c r="C23" s="296">
        <v>1002998.3</v>
      </c>
      <c r="D23" s="220">
        <v>974957.8</v>
      </c>
    </row>
    <row r="24" spans="1:4" ht="12.75">
      <c r="A24" s="306" t="s">
        <v>361</v>
      </c>
      <c r="B24" s="306"/>
      <c r="C24" s="85">
        <f>C15+C10</f>
        <v>1267.9000000000015</v>
      </c>
      <c r="D24" s="85">
        <f>D15+D10</f>
        <v>-50559.09999999993</v>
      </c>
    </row>
    <row r="26" spans="1:2" ht="12.75">
      <c r="A26" s="87"/>
      <c r="B26" s="88"/>
    </row>
    <row r="27" ht="12.75">
      <c r="B27" s="90"/>
    </row>
  </sheetData>
  <mergeCells count="6">
    <mergeCell ref="A24:B24"/>
    <mergeCell ref="A5:D5"/>
    <mergeCell ref="A6:D6"/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80" zoomScaleSheetLayoutView="80" workbookViewId="0" topLeftCell="A1">
      <selection activeCell="I1" sqref="I1:L1"/>
    </sheetView>
  </sheetViews>
  <sheetFormatPr defaultColWidth="9.125" defaultRowHeight="12.75"/>
  <cols>
    <col min="1" max="1" width="6.25390625" style="166" customWidth="1"/>
    <col min="2" max="2" width="48.75390625" style="167" customWidth="1"/>
    <col min="3" max="3" width="29.125" style="167" customWidth="1"/>
    <col min="4" max="4" width="9.625" style="168" customWidth="1"/>
    <col min="5" max="5" width="11.75390625" style="168" customWidth="1"/>
    <col min="6" max="6" width="14.00390625" style="168" customWidth="1"/>
    <col min="7" max="7" width="10.875" style="169" customWidth="1"/>
    <col min="8" max="8" width="12.25390625" style="168" bestFit="1" customWidth="1"/>
    <col min="9" max="9" width="12.125" style="168" customWidth="1"/>
    <col min="10" max="10" width="12.75390625" style="168" customWidth="1"/>
    <col min="11" max="11" width="9.25390625" style="169" customWidth="1"/>
    <col min="12" max="12" width="14.875" style="168" customWidth="1"/>
    <col min="13" max="252" width="9.125" style="167" customWidth="1"/>
    <col min="253" max="253" width="5.625" style="167" customWidth="1"/>
    <col min="254" max="254" width="33.625" style="167" customWidth="1"/>
    <col min="255" max="255" width="15.625" style="167" customWidth="1"/>
    <col min="256" max="256" width="9.625" style="167" customWidth="1"/>
    <col min="257" max="257" width="11.75390625" style="167" customWidth="1"/>
    <col min="258" max="258" width="13.125" style="167" customWidth="1"/>
    <col min="259" max="259" width="10.875" style="167" customWidth="1"/>
    <col min="260" max="260" width="9.25390625" style="167" bestFit="1" customWidth="1"/>
    <col min="261" max="261" width="12.125" style="167" customWidth="1"/>
    <col min="262" max="262" width="12.75390625" style="167" customWidth="1"/>
    <col min="263" max="263" width="9.25390625" style="167" customWidth="1"/>
    <col min="264" max="264" width="9.25390625" style="167" bestFit="1" customWidth="1"/>
    <col min="265" max="265" width="13.125" style="167" customWidth="1"/>
    <col min="266" max="266" width="13.625" style="167" customWidth="1"/>
    <col min="267" max="267" width="9.625" style="167" customWidth="1"/>
    <col min="268" max="268" width="14.875" style="167" customWidth="1"/>
    <col min="269" max="508" width="9.125" style="167" customWidth="1"/>
    <col min="509" max="509" width="5.625" style="167" customWidth="1"/>
    <col min="510" max="510" width="33.625" style="167" customWidth="1"/>
    <col min="511" max="511" width="15.625" style="167" customWidth="1"/>
    <col min="512" max="512" width="9.625" style="167" customWidth="1"/>
    <col min="513" max="513" width="11.75390625" style="167" customWidth="1"/>
    <col min="514" max="514" width="13.125" style="167" customWidth="1"/>
    <col min="515" max="515" width="10.875" style="167" customWidth="1"/>
    <col min="516" max="516" width="9.25390625" style="167" bestFit="1" customWidth="1"/>
    <col min="517" max="517" width="12.125" style="167" customWidth="1"/>
    <col min="518" max="518" width="12.75390625" style="167" customWidth="1"/>
    <col min="519" max="519" width="9.25390625" style="167" customWidth="1"/>
    <col min="520" max="520" width="9.25390625" style="167" bestFit="1" customWidth="1"/>
    <col min="521" max="521" width="13.125" style="167" customWidth="1"/>
    <col min="522" max="522" width="13.625" style="167" customWidth="1"/>
    <col min="523" max="523" width="9.625" style="167" customWidth="1"/>
    <col min="524" max="524" width="14.875" style="167" customWidth="1"/>
    <col min="525" max="764" width="9.125" style="167" customWidth="1"/>
    <col min="765" max="765" width="5.625" style="167" customWidth="1"/>
    <col min="766" max="766" width="33.625" style="167" customWidth="1"/>
    <col min="767" max="767" width="15.625" style="167" customWidth="1"/>
    <col min="768" max="768" width="9.625" style="167" customWidth="1"/>
    <col min="769" max="769" width="11.75390625" style="167" customWidth="1"/>
    <col min="770" max="770" width="13.125" style="167" customWidth="1"/>
    <col min="771" max="771" width="10.875" style="167" customWidth="1"/>
    <col min="772" max="772" width="9.25390625" style="167" bestFit="1" customWidth="1"/>
    <col min="773" max="773" width="12.125" style="167" customWidth="1"/>
    <col min="774" max="774" width="12.75390625" style="167" customWidth="1"/>
    <col min="775" max="775" width="9.25390625" style="167" customWidth="1"/>
    <col min="776" max="776" width="9.25390625" style="167" bestFit="1" customWidth="1"/>
    <col min="777" max="777" width="13.125" style="167" customWidth="1"/>
    <col min="778" max="778" width="13.625" style="167" customWidth="1"/>
    <col min="779" max="779" width="9.625" style="167" customWidth="1"/>
    <col min="780" max="780" width="14.875" style="167" customWidth="1"/>
    <col min="781" max="1020" width="9.125" style="167" customWidth="1"/>
    <col min="1021" max="1021" width="5.625" style="167" customWidth="1"/>
    <col min="1022" max="1022" width="33.625" style="167" customWidth="1"/>
    <col min="1023" max="1023" width="15.625" style="167" customWidth="1"/>
    <col min="1024" max="1024" width="9.625" style="167" customWidth="1"/>
    <col min="1025" max="1025" width="11.75390625" style="167" customWidth="1"/>
    <col min="1026" max="1026" width="13.125" style="167" customWidth="1"/>
    <col min="1027" max="1027" width="10.875" style="167" customWidth="1"/>
    <col min="1028" max="1028" width="9.25390625" style="167" bestFit="1" customWidth="1"/>
    <col min="1029" max="1029" width="12.125" style="167" customWidth="1"/>
    <col min="1030" max="1030" width="12.75390625" style="167" customWidth="1"/>
    <col min="1031" max="1031" width="9.25390625" style="167" customWidth="1"/>
    <col min="1032" max="1032" width="9.25390625" style="167" bestFit="1" customWidth="1"/>
    <col min="1033" max="1033" width="13.125" style="167" customWidth="1"/>
    <col min="1034" max="1034" width="13.625" style="167" customWidth="1"/>
    <col min="1035" max="1035" width="9.625" style="167" customWidth="1"/>
    <col min="1036" max="1036" width="14.875" style="167" customWidth="1"/>
    <col min="1037" max="1276" width="9.125" style="167" customWidth="1"/>
    <col min="1277" max="1277" width="5.625" style="167" customWidth="1"/>
    <col min="1278" max="1278" width="33.625" style="167" customWidth="1"/>
    <col min="1279" max="1279" width="15.625" style="167" customWidth="1"/>
    <col min="1280" max="1280" width="9.625" style="167" customWidth="1"/>
    <col min="1281" max="1281" width="11.75390625" style="167" customWidth="1"/>
    <col min="1282" max="1282" width="13.125" style="167" customWidth="1"/>
    <col min="1283" max="1283" width="10.875" style="167" customWidth="1"/>
    <col min="1284" max="1284" width="9.25390625" style="167" bestFit="1" customWidth="1"/>
    <col min="1285" max="1285" width="12.125" style="167" customWidth="1"/>
    <col min="1286" max="1286" width="12.75390625" style="167" customWidth="1"/>
    <col min="1287" max="1287" width="9.25390625" style="167" customWidth="1"/>
    <col min="1288" max="1288" width="9.25390625" style="167" bestFit="1" customWidth="1"/>
    <col min="1289" max="1289" width="13.125" style="167" customWidth="1"/>
    <col min="1290" max="1290" width="13.625" style="167" customWidth="1"/>
    <col min="1291" max="1291" width="9.625" style="167" customWidth="1"/>
    <col min="1292" max="1292" width="14.875" style="167" customWidth="1"/>
    <col min="1293" max="1532" width="9.125" style="167" customWidth="1"/>
    <col min="1533" max="1533" width="5.625" style="167" customWidth="1"/>
    <col min="1534" max="1534" width="33.625" style="167" customWidth="1"/>
    <col min="1535" max="1535" width="15.625" style="167" customWidth="1"/>
    <col min="1536" max="1536" width="9.625" style="167" customWidth="1"/>
    <col min="1537" max="1537" width="11.75390625" style="167" customWidth="1"/>
    <col min="1538" max="1538" width="13.125" style="167" customWidth="1"/>
    <col min="1539" max="1539" width="10.875" style="167" customWidth="1"/>
    <col min="1540" max="1540" width="9.25390625" style="167" bestFit="1" customWidth="1"/>
    <col min="1541" max="1541" width="12.125" style="167" customWidth="1"/>
    <col min="1542" max="1542" width="12.75390625" style="167" customWidth="1"/>
    <col min="1543" max="1543" width="9.25390625" style="167" customWidth="1"/>
    <col min="1544" max="1544" width="9.25390625" style="167" bestFit="1" customWidth="1"/>
    <col min="1545" max="1545" width="13.125" style="167" customWidth="1"/>
    <col min="1546" max="1546" width="13.625" style="167" customWidth="1"/>
    <col min="1547" max="1547" width="9.625" style="167" customWidth="1"/>
    <col min="1548" max="1548" width="14.875" style="167" customWidth="1"/>
    <col min="1549" max="1788" width="9.125" style="167" customWidth="1"/>
    <col min="1789" max="1789" width="5.625" style="167" customWidth="1"/>
    <col min="1790" max="1790" width="33.625" style="167" customWidth="1"/>
    <col min="1791" max="1791" width="15.625" style="167" customWidth="1"/>
    <col min="1792" max="1792" width="9.625" style="167" customWidth="1"/>
    <col min="1793" max="1793" width="11.75390625" style="167" customWidth="1"/>
    <col min="1794" max="1794" width="13.125" style="167" customWidth="1"/>
    <col min="1795" max="1795" width="10.875" style="167" customWidth="1"/>
    <col min="1796" max="1796" width="9.25390625" style="167" bestFit="1" customWidth="1"/>
    <col min="1797" max="1797" width="12.125" style="167" customWidth="1"/>
    <col min="1798" max="1798" width="12.75390625" style="167" customWidth="1"/>
    <col min="1799" max="1799" width="9.25390625" style="167" customWidth="1"/>
    <col min="1800" max="1800" width="9.25390625" style="167" bestFit="1" customWidth="1"/>
    <col min="1801" max="1801" width="13.125" style="167" customWidth="1"/>
    <col min="1802" max="1802" width="13.625" style="167" customWidth="1"/>
    <col min="1803" max="1803" width="9.625" style="167" customWidth="1"/>
    <col min="1804" max="1804" width="14.875" style="167" customWidth="1"/>
    <col min="1805" max="2044" width="9.125" style="167" customWidth="1"/>
    <col min="2045" max="2045" width="5.625" style="167" customWidth="1"/>
    <col min="2046" max="2046" width="33.625" style="167" customWidth="1"/>
    <col min="2047" max="2047" width="15.625" style="167" customWidth="1"/>
    <col min="2048" max="2048" width="9.625" style="167" customWidth="1"/>
    <col min="2049" max="2049" width="11.75390625" style="167" customWidth="1"/>
    <col min="2050" max="2050" width="13.125" style="167" customWidth="1"/>
    <col min="2051" max="2051" width="10.875" style="167" customWidth="1"/>
    <col min="2052" max="2052" width="9.25390625" style="167" bestFit="1" customWidth="1"/>
    <col min="2053" max="2053" width="12.125" style="167" customWidth="1"/>
    <col min="2054" max="2054" width="12.75390625" style="167" customWidth="1"/>
    <col min="2055" max="2055" width="9.25390625" style="167" customWidth="1"/>
    <col min="2056" max="2056" width="9.25390625" style="167" bestFit="1" customWidth="1"/>
    <col min="2057" max="2057" width="13.125" style="167" customWidth="1"/>
    <col min="2058" max="2058" width="13.625" style="167" customWidth="1"/>
    <col min="2059" max="2059" width="9.625" style="167" customWidth="1"/>
    <col min="2060" max="2060" width="14.875" style="167" customWidth="1"/>
    <col min="2061" max="2300" width="9.125" style="167" customWidth="1"/>
    <col min="2301" max="2301" width="5.625" style="167" customWidth="1"/>
    <col min="2302" max="2302" width="33.625" style="167" customWidth="1"/>
    <col min="2303" max="2303" width="15.625" style="167" customWidth="1"/>
    <col min="2304" max="2304" width="9.625" style="167" customWidth="1"/>
    <col min="2305" max="2305" width="11.75390625" style="167" customWidth="1"/>
    <col min="2306" max="2306" width="13.125" style="167" customWidth="1"/>
    <col min="2307" max="2307" width="10.875" style="167" customWidth="1"/>
    <col min="2308" max="2308" width="9.25390625" style="167" bestFit="1" customWidth="1"/>
    <col min="2309" max="2309" width="12.125" style="167" customWidth="1"/>
    <col min="2310" max="2310" width="12.75390625" style="167" customWidth="1"/>
    <col min="2311" max="2311" width="9.25390625" style="167" customWidth="1"/>
    <col min="2312" max="2312" width="9.25390625" style="167" bestFit="1" customWidth="1"/>
    <col min="2313" max="2313" width="13.125" style="167" customWidth="1"/>
    <col min="2314" max="2314" width="13.625" style="167" customWidth="1"/>
    <col min="2315" max="2315" width="9.625" style="167" customWidth="1"/>
    <col min="2316" max="2316" width="14.875" style="167" customWidth="1"/>
    <col min="2317" max="2556" width="9.125" style="167" customWidth="1"/>
    <col min="2557" max="2557" width="5.625" style="167" customWidth="1"/>
    <col min="2558" max="2558" width="33.625" style="167" customWidth="1"/>
    <col min="2559" max="2559" width="15.625" style="167" customWidth="1"/>
    <col min="2560" max="2560" width="9.625" style="167" customWidth="1"/>
    <col min="2561" max="2561" width="11.75390625" style="167" customWidth="1"/>
    <col min="2562" max="2562" width="13.125" style="167" customWidth="1"/>
    <col min="2563" max="2563" width="10.875" style="167" customWidth="1"/>
    <col min="2564" max="2564" width="9.25390625" style="167" bestFit="1" customWidth="1"/>
    <col min="2565" max="2565" width="12.125" style="167" customWidth="1"/>
    <col min="2566" max="2566" width="12.75390625" style="167" customWidth="1"/>
    <col min="2567" max="2567" width="9.25390625" style="167" customWidth="1"/>
    <col min="2568" max="2568" width="9.25390625" style="167" bestFit="1" customWidth="1"/>
    <col min="2569" max="2569" width="13.125" style="167" customWidth="1"/>
    <col min="2570" max="2570" width="13.625" style="167" customWidth="1"/>
    <col min="2571" max="2571" width="9.625" style="167" customWidth="1"/>
    <col min="2572" max="2572" width="14.875" style="167" customWidth="1"/>
    <col min="2573" max="2812" width="9.125" style="167" customWidth="1"/>
    <col min="2813" max="2813" width="5.625" style="167" customWidth="1"/>
    <col min="2814" max="2814" width="33.625" style="167" customWidth="1"/>
    <col min="2815" max="2815" width="15.625" style="167" customWidth="1"/>
    <col min="2816" max="2816" width="9.625" style="167" customWidth="1"/>
    <col min="2817" max="2817" width="11.75390625" style="167" customWidth="1"/>
    <col min="2818" max="2818" width="13.125" style="167" customWidth="1"/>
    <col min="2819" max="2819" width="10.875" style="167" customWidth="1"/>
    <col min="2820" max="2820" width="9.25390625" style="167" bestFit="1" customWidth="1"/>
    <col min="2821" max="2821" width="12.125" style="167" customWidth="1"/>
    <col min="2822" max="2822" width="12.75390625" style="167" customWidth="1"/>
    <col min="2823" max="2823" width="9.25390625" style="167" customWidth="1"/>
    <col min="2824" max="2824" width="9.25390625" style="167" bestFit="1" customWidth="1"/>
    <col min="2825" max="2825" width="13.125" style="167" customWidth="1"/>
    <col min="2826" max="2826" width="13.625" style="167" customWidth="1"/>
    <col min="2827" max="2827" width="9.625" style="167" customWidth="1"/>
    <col min="2828" max="2828" width="14.875" style="167" customWidth="1"/>
    <col min="2829" max="3068" width="9.125" style="167" customWidth="1"/>
    <col min="3069" max="3069" width="5.625" style="167" customWidth="1"/>
    <col min="3070" max="3070" width="33.625" style="167" customWidth="1"/>
    <col min="3071" max="3071" width="15.625" style="167" customWidth="1"/>
    <col min="3072" max="3072" width="9.625" style="167" customWidth="1"/>
    <col min="3073" max="3073" width="11.75390625" style="167" customWidth="1"/>
    <col min="3074" max="3074" width="13.125" style="167" customWidth="1"/>
    <col min="3075" max="3075" width="10.875" style="167" customWidth="1"/>
    <col min="3076" max="3076" width="9.25390625" style="167" bestFit="1" customWidth="1"/>
    <col min="3077" max="3077" width="12.125" style="167" customWidth="1"/>
    <col min="3078" max="3078" width="12.75390625" style="167" customWidth="1"/>
    <col min="3079" max="3079" width="9.25390625" style="167" customWidth="1"/>
    <col min="3080" max="3080" width="9.25390625" style="167" bestFit="1" customWidth="1"/>
    <col min="3081" max="3081" width="13.125" style="167" customWidth="1"/>
    <col min="3082" max="3082" width="13.625" style="167" customWidth="1"/>
    <col min="3083" max="3083" width="9.625" style="167" customWidth="1"/>
    <col min="3084" max="3084" width="14.875" style="167" customWidth="1"/>
    <col min="3085" max="3324" width="9.125" style="167" customWidth="1"/>
    <col min="3325" max="3325" width="5.625" style="167" customWidth="1"/>
    <col min="3326" max="3326" width="33.625" style="167" customWidth="1"/>
    <col min="3327" max="3327" width="15.625" style="167" customWidth="1"/>
    <col min="3328" max="3328" width="9.625" style="167" customWidth="1"/>
    <col min="3329" max="3329" width="11.75390625" style="167" customWidth="1"/>
    <col min="3330" max="3330" width="13.125" style="167" customWidth="1"/>
    <col min="3331" max="3331" width="10.875" style="167" customWidth="1"/>
    <col min="3332" max="3332" width="9.25390625" style="167" bestFit="1" customWidth="1"/>
    <col min="3333" max="3333" width="12.125" style="167" customWidth="1"/>
    <col min="3334" max="3334" width="12.75390625" style="167" customWidth="1"/>
    <col min="3335" max="3335" width="9.25390625" style="167" customWidth="1"/>
    <col min="3336" max="3336" width="9.25390625" style="167" bestFit="1" customWidth="1"/>
    <col min="3337" max="3337" width="13.125" style="167" customWidth="1"/>
    <col min="3338" max="3338" width="13.625" style="167" customWidth="1"/>
    <col min="3339" max="3339" width="9.625" style="167" customWidth="1"/>
    <col min="3340" max="3340" width="14.875" style="167" customWidth="1"/>
    <col min="3341" max="3580" width="9.125" style="167" customWidth="1"/>
    <col min="3581" max="3581" width="5.625" style="167" customWidth="1"/>
    <col min="3582" max="3582" width="33.625" style="167" customWidth="1"/>
    <col min="3583" max="3583" width="15.625" style="167" customWidth="1"/>
    <col min="3584" max="3584" width="9.625" style="167" customWidth="1"/>
    <col min="3585" max="3585" width="11.75390625" style="167" customWidth="1"/>
    <col min="3586" max="3586" width="13.125" style="167" customWidth="1"/>
    <col min="3587" max="3587" width="10.875" style="167" customWidth="1"/>
    <col min="3588" max="3588" width="9.25390625" style="167" bestFit="1" customWidth="1"/>
    <col min="3589" max="3589" width="12.125" style="167" customWidth="1"/>
    <col min="3590" max="3590" width="12.75390625" style="167" customWidth="1"/>
    <col min="3591" max="3591" width="9.25390625" style="167" customWidth="1"/>
    <col min="3592" max="3592" width="9.25390625" style="167" bestFit="1" customWidth="1"/>
    <col min="3593" max="3593" width="13.125" style="167" customWidth="1"/>
    <col min="3594" max="3594" width="13.625" style="167" customWidth="1"/>
    <col min="3595" max="3595" width="9.625" style="167" customWidth="1"/>
    <col min="3596" max="3596" width="14.875" style="167" customWidth="1"/>
    <col min="3597" max="3836" width="9.125" style="167" customWidth="1"/>
    <col min="3837" max="3837" width="5.625" style="167" customWidth="1"/>
    <col min="3838" max="3838" width="33.625" style="167" customWidth="1"/>
    <col min="3839" max="3839" width="15.625" style="167" customWidth="1"/>
    <col min="3840" max="3840" width="9.625" style="167" customWidth="1"/>
    <col min="3841" max="3841" width="11.75390625" style="167" customWidth="1"/>
    <col min="3842" max="3842" width="13.125" style="167" customWidth="1"/>
    <col min="3843" max="3843" width="10.875" style="167" customWidth="1"/>
    <col min="3844" max="3844" width="9.25390625" style="167" bestFit="1" customWidth="1"/>
    <col min="3845" max="3845" width="12.125" style="167" customWidth="1"/>
    <col min="3846" max="3846" width="12.75390625" style="167" customWidth="1"/>
    <col min="3847" max="3847" width="9.25390625" style="167" customWidth="1"/>
    <col min="3848" max="3848" width="9.25390625" style="167" bestFit="1" customWidth="1"/>
    <col min="3849" max="3849" width="13.125" style="167" customWidth="1"/>
    <col min="3850" max="3850" width="13.625" style="167" customWidth="1"/>
    <col min="3851" max="3851" width="9.625" style="167" customWidth="1"/>
    <col min="3852" max="3852" width="14.875" style="167" customWidth="1"/>
    <col min="3853" max="4092" width="9.125" style="167" customWidth="1"/>
    <col min="4093" max="4093" width="5.625" style="167" customWidth="1"/>
    <col min="4094" max="4094" width="33.625" style="167" customWidth="1"/>
    <col min="4095" max="4095" width="15.625" style="167" customWidth="1"/>
    <col min="4096" max="4096" width="9.625" style="167" customWidth="1"/>
    <col min="4097" max="4097" width="11.75390625" style="167" customWidth="1"/>
    <col min="4098" max="4098" width="13.125" style="167" customWidth="1"/>
    <col min="4099" max="4099" width="10.875" style="167" customWidth="1"/>
    <col min="4100" max="4100" width="9.25390625" style="167" bestFit="1" customWidth="1"/>
    <col min="4101" max="4101" width="12.125" style="167" customWidth="1"/>
    <col min="4102" max="4102" width="12.75390625" style="167" customWidth="1"/>
    <col min="4103" max="4103" width="9.25390625" style="167" customWidth="1"/>
    <col min="4104" max="4104" width="9.25390625" style="167" bestFit="1" customWidth="1"/>
    <col min="4105" max="4105" width="13.125" style="167" customWidth="1"/>
    <col min="4106" max="4106" width="13.625" style="167" customWidth="1"/>
    <col min="4107" max="4107" width="9.625" style="167" customWidth="1"/>
    <col min="4108" max="4108" width="14.875" style="167" customWidth="1"/>
    <col min="4109" max="4348" width="9.125" style="167" customWidth="1"/>
    <col min="4349" max="4349" width="5.625" style="167" customWidth="1"/>
    <col min="4350" max="4350" width="33.625" style="167" customWidth="1"/>
    <col min="4351" max="4351" width="15.625" style="167" customWidth="1"/>
    <col min="4352" max="4352" width="9.625" style="167" customWidth="1"/>
    <col min="4353" max="4353" width="11.75390625" style="167" customWidth="1"/>
    <col min="4354" max="4354" width="13.125" style="167" customWidth="1"/>
    <col min="4355" max="4355" width="10.875" style="167" customWidth="1"/>
    <col min="4356" max="4356" width="9.25390625" style="167" bestFit="1" customWidth="1"/>
    <col min="4357" max="4357" width="12.125" style="167" customWidth="1"/>
    <col min="4358" max="4358" width="12.75390625" style="167" customWidth="1"/>
    <col min="4359" max="4359" width="9.25390625" style="167" customWidth="1"/>
    <col min="4360" max="4360" width="9.25390625" style="167" bestFit="1" customWidth="1"/>
    <col min="4361" max="4361" width="13.125" style="167" customWidth="1"/>
    <col min="4362" max="4362" width="13.625" style="167" customWidth="1"/>
    <col min="4363" max="4363" width="9.625" style="167" customWidth="1"/>
    <col min="4364" max="4364" width="14.875" style="167" customWidth="1"/>
    <col min="4365" max="4604" width="9.125" style="167" customWidth="1"/>
    <col min="4605" max="4605" width="5.625" style="167" customWidth="1"/>
    <col min="4606" max="4606" width="33.625" style="167" customWidth="1"/>
    <col min="4607" max="4607" width="15.625" style="167" customWidth="1"/>
    <col min="4608" max="4608" width="9.625" style="167" customWidth="1"/>
    <col min="4609" max="4609" width="11.75390625" style="167" customWidth="1"/>
    <col min="4610" max="4610" width="13.125" style="167" customWidth="1"/>
    <col min="4611" max="4611" width="10.875" style="167" customWidth="1"/>
    <col min="4612" max="4612" width="9.25390625" style="167" bestFit="1" customWidth="1"/>
    <col min="4613" max="4613" width="12.125" style="167" customWidth="1"/>
    <col min="4614" max="4614" width="12.75390625" style="167" customWidth="1"/>
    <col min="4615" max="4615" width="9.25390625" style="167" customWidth="1"/>
    <col min="4616" max="4616" width="9.25390625" style="167" bestFit="1" customWidth="1"/>
    <col min="4617" max="4617" width="13.125" style="167" customWidth="1"/>
    <col min="4618" max="4618" width="13.625" style="167" customWidth="1"/>
    <col min="4619" max="4619" width="9.625" style="167" customWidth="1"/>
    <col min="4620" max="4620" width="14.875" style="167" customWidth="1"/>
    <col min="4621" max="4860" width="9.125" style="167" customWidth="1"/>
    <col min="4861" max="4861" width="5.625" style="167" customWidth="1"/>
    <col min="4862" max="4862" width="33.625" style="167" customWidth="1"/>
    <col min="4863" max="4863" width="15.625" style="167" customWidth="1"/>
    <col min="4864" max="4864" width="9.625" style="167" customWidth="1"/>
    <col min="4865" max="4865" width="11.75390625" style="167" customWidth="1"/>
    <col min="4866" max="4866" width="13.125" style="167" customWidth="1"/>
    <col min="4867" max="4867" width="10.875" style="167" customWidth="1"/>
    <col min="4868" max="4868" width="9.25390625" style="167" bestFit="1" customWidth="1"/>
    <col min="4869" max="4869" width="12.125" style="167" customWidth="1"/>
    <col min="4870" max="4870" width="12.75390625" style="167" customWidth="1"/>
    <col min="4871" max="4871" width="9.25390625" style="167" customWidth="1"/>
    <col min="4872" max="4872" width="9.25390625" style="167" bestFit="1" customWidth="1"/>
    <col min="4873" max="4873" width="13.125" style="167" customWidth="1"/>
    <col min="4874" max="4874" width="13.625" style="167" customWidth="1"/>
    <col min="4875" max="4875" width="9.625" style="167" customWidth="1"/>
    <col min="4876" max="4876" width="14.875" style="167" customWidth="1"/>
    <col min="4877" max="5116" width="9.125" style="167" customWidth="1"/>
    <col min="5117" max="5117" width="5.625" style="167" customWidth="1"/>
    <col min="5118" max="5118" width="33.625" style="167" customWidth="1"/>
    <col min="5119" max="5119" width="15.625" style="167" customWidth="1"/>
    <col min="5120" max="5120" width="9.625" style="167" customWidth="1"/>
    <col min="5121" max="5121" width="11.75390625" style="167" customWidth="1"/>
    <col min="5122" max="5122" width="13.125" style="167" customWidth="1"/>
    <col min="5123" max="5123" width="10.875" style="167" customWidth="1"/>
    <col min="5124" max="5124" width="9.25390625" style="167" bestFit="1" customWidth="1"/>
    <col min="5125" max="5125" width="12.125" style="167" customWidth="1"/>
    <col min="5126" max="5126" width="12.75390625" style="167" customWidth="1"/>
    <col min="5127" max="5127" width="9.25390625" style="167" customWidth="1"/>
    <col min="5128" max="5128" width="9.25390625" style="167" bestFit="1" customWidth="1"/>
    <col min="5129" max="5129" width="13.125" style="167" customWidth="1"/>
    <col min="5130" max="5130" width="13.625" style="167" customWidth="1"/>
    <col min="5131" max="5131" width="9.625" style="167" customWidth="1"/>
    <col min="5132" max="5132" width="14.875" style="167" customWidth="1"/>
    <col min="5133" max="5372" width="9.125" style="167" customWidth="1"/>
    <col min="5373" max="5373" width="5.625" style="167" customWidth="1"/>
    <col min="5374" max="5374" width="33.625" style="167" customWidth="1"/>
    <col min="5375" max="5375" width="15.625" style="167" customWidth="1"/>
    <col min="5376" max="5376" width="9.625" style="167" customWidth="1"/>
    <col min="5377" max="5377" width="11.75390625" style="167" customWidth="1"/>
    <col min="5378" max="5378" width="13.125" style="167" customWidth="1"/>
    <col min="5379" max="5379" width="10.875" style="167" customWidth="1"/>
    <col min="5380" max="5380" width="9.25390625" style="167" bestFit="1" customWidth="1"/>
    <col min="5381" max="5381" width="12.125" style="167" customWidth="1"/>
    <col min="5382" max="5382" width="12.75390625" style="167" customWidth="1"/>
    <col min="5383" max="5383" width="9.25390625" style="167" customWidth="1"/>
    <col min="5384" max="5384" width="9.25390625" style="167" bestFit="1" customWidth="1"/>
    <col min="5385" max="5385" width="13.125" style="167" customWidth="1"/>
    <col min="5386" max="5386" width="13.625" style="167" customWidth="1"/>
    <col min="5387" max="5387" width="9.625" style="167" customWidth="1"/>
    <col min="5388" max="5388" width="14.875" style="167" customWidth="1"/>
    <col min="5389" max="5628" width="9.125" style="167" customWidth="1"/>
    <col min="5629" max="5629" width="5.625" style="167" customWidth="1"/>
    <col min="5630" max="5630" width="33.625" style="167" customWidth="1"/>
    <col min="5631" max="5631" width="15.625" style="167" customWidth="1"/>
    <col min="5632" max="5632" width="9.625" style="167" customWidth="1"/>
    <col min="5633" max="5633" width="11.75390625" style="167" customWidth="1"/>
    <col min="5634" max="5634" width="13.125" style="167" customWidth="1"/>
    <col min="5635" max="5635" width="10.875" style="167" customWidth="1"/>
    <col min="5636" max="5636" width="9.25390625" style="167" bestFit="1" customWidth="1"/>
    <col min="5637" max="5637" width="12.125" style="167" customWidth="1"/>
    <col min="5638" max="5638" width="12.75390625" style="167" customWidth="1"/>
    <col min="5639" max="5639" width="9.25390625" style="167" customWidth="1"/>
    <col min="5640" max="5640" width="9.25390625" style="167" bestFit="1" customWidth="1"/>
    <col min="5641" max="5641" width="13.125" style="167" customWidth="1"/>
    <col min="5642" max="5642" width="13.625" style="167" customWidth="1"/>
    <col min="5643" max="5643" width="9.625" style="167" customWidth="1"/>
    <col min="5644" max="5644" width="14.875" style="167" customWidth="1"/>
    <col min="5645" max="5884" width="9.125" style="167" customWidth="1"/>
    <col min="5885" max="5885" width="5.625" style="167" customWidth="1"/>
    <col min="5886" max="5886" width="33.625" style="167" customWidth="1"/>
    <col min="5887" max="5887" width="15.625" style="167" customWidth="1"/>
    <col min="5888" max="5888" width="9.625" style="167" customWidth="1"/>
    <col min="5889" max="5889" width="11.75390625" style="167" customWidth="1"/>
    <col min="5890" max="5890" width="13.125" style="167" customWidth="1"/>
    <col min="5891" max="5891" width="10.875" style="167" customWidth="1"/>
    <col min="5892" max="5892" width="9.25390625" style="167" bestFit="1" customWidth="1"/>
    <col min="5893" max="5893" width="12.125" style="167" customWidth="1"/>
    <col min="5894" max="5894" width="12.75390625" style="167" customWidth="1"/>
    <col min="5895" max="5895" width="9.25390625" style="167" customWidth="1"/>
    <col min="5896" max="5896" width="9.25390625" style="167" bestFit="1" customWidth="1"/>
    <col min="5897" max="5897" width="13.125" style="167" customWidth="1"/>
    <col min="5898" max="5898" width="13.625" style="167" customWidth="1"/>
    <col min="5899" max="5899" width="9.625" style="167" customWidth="1"/>
    <col min="5900" max="5900" width="14.875" style="167" customWidth="1"/>
    <col min="5901" max="6140" width="9.125" style="167" customWidth="1"/>
    <col min="6141" max="6141" width="5.625" style="167" customWidth="1"/>
    <col min="6142" max="6142" width="33.625" style="167" customWidth="1"/>
    <col min="6143" max="6143" width="15.625" style="167" customWidth="1"/>
    <col min="6144" max="6144" width="9.625" style="167" customWidth="1"/>
    <col min="6145" max="6145" width="11.75390625" style="167" customWidth="1"/>
    <col min="6146" max="6146" width="13.125" style="167" customWidth="1"/>
    <col min="6147" max="6147" width="10.875" style="167" customWidth="1"/>
    <col min="6148" max="6148" width="9.25390625" style="167" bestFit="1" customWidth="1"/>
    <col min="6149" max="6149" width="12.125" style="167" customWidth="1"/>
    <col min="6150" max="6150" width="12.75390625" style="167" customWidth="1"/>
    <col min="6151" max="6151" width="9.25390625" style="167" customWidth="1"/>
    <col min="6152" max="6152" width="9.25390625" style="167" bestFit="1" customWidth="1"/>
    <col min="6153" max="6153" width="13.125" style="167" customWidth="1"/>
    <col min="6154" max="6154" width="13.625" style="167" customWidth="1"/>
    <col min="6155" max="6155" width="9.625" style="167" customWidth="1"/>
    <col min="6156" max="6156" width="14.875" style="167" customWidth="1"/>
    <col min="6157" max="6396" width="9.125" style="167" customWidth="1"/>
    <col min="6397" max="6397" width="5.625" style="167" customWidth="1"/>
    <col min="6398" max="6398" width="33.625" style="167" customWidth="1"/>
    <col min="6399" max="6399" width="15.625" style="167" customWidth="1"/>
    <col min="6400" max="6400" width="9.625" style="167" customWidth="1"/>
    <col min="6401" max="6401" width="11.75390625" style="167" customWidth="1"/>
    <col min="6402" max="6402" width="13.125" style="167" customWidth="1"/>
    <col min="6403" max="6403" width="10.875" style="167" customWidth="1"/>
    <col min="6404" max="6404" width="9.25390625" style="167" bestFit="1" customWidth="1"/>
    <col min="6405" max="6405" width="12.125" style="167" customWidth="1"/>
    <col min="6406" max="6406" width="12.75390625" style="167" customWidth="1"/>
    <col min="6407" max="6407" width="9.25390625" style="167" customWidth="1"/>
    <col min="6408" max="6408" width="9.25390625" style="167" bestFit="1" customWidth="1"/>
    <col min="6409" max="6409" width="13.125" style="167" customWidth="1"/>
    <col min="6410" max="6410" width="13.625" style="167" customWidth="1"/>
    <col min="6411" max="6411" width="9.625" style="167" customWidth="1"/>
    <col min="6412" max="6412" width="14.875" style="167" customWidth="1"/>
    <col min="6413" max="6652" width="9.125" style="167" customWidth="1"/>
    <col min="6653" max="6653" width="5.625" style="167" customWidth="1"/>
    <col min="6654" max="6654" width="33.625" style="167" customWidth="1"/>
    <col min="6655" max="6655" width="15.625" style="167" customWidth="1"/>
    <col min="6656" max="6656" width="9.625" style="167" customWidth="1"/>
    <col min="6657" max="6657" width="11.75390625" style="167" customWidth="1"/>
    <col min="6658" max="6658" width="13.125" style="167" customWidth="1"/>
    <col min="6659" max="6659" width="10.875" style="167" customWidth="1"/>
    <col min="6660" max="6660" width="9.25390625" style="167" bestFit="1" customWidth="1"/>
    <col min="6661" max="6661" width="12.125" style="167" customWidth="1"/>
    <col min="6662" max="6662" width="12.75390625" style="167" customWidth="1"/>
    <col min="6663" max="6663" width="9.25390625" style="167" customWidth="1"/>
    <col min="6664" max="6664" width="9.25390625" style="167" bestFit="1" customWidth="1"/>
    <col min="6665" max="6665" width="13.125" style="167" customWidth="1"/>
    <col min="6666" max="6666" width="13.625" style="167" customWidth="1"/>
    <col min="6667" max="6667" width="9.625" style="167" customWidth="1"/>
    <col min="6668" max="6668" width="14.875" style="167" customWidth="1"/>
    <col min="6669" max="6908" width="9.125" style="167" customWidth="1"/>
    <col min="6909" max="6909" width="5.625" style="167" customWidth="1"/>
    <col min="6910" max="6910" width="33.625" style="167" customWidth="1"/>
    <col min="6911" max="6911" width="15.625" style="167" customWidth="1"/>
    <col min="6912" max="6912" width="9.625" style="167" customWidth="1"/>
    <col min="6913" max="6913" width="11.75390625" style="167" customWidth="1"/>
    <col min="6914" max="6914" width="13.125" style="167" customWidth="1"/>
    <col min="6915" max="6915" width="10.875" style="167" customWidth="1"/>
    <col min="6916" max="6916" width="9.25390625" style="167" bestFit="1" customWidth="1"/>
    <col min="6917" max="6917" width="12.125" style="167" customWidth="1"/>
    <col min="6918" max="6918" width="12.75390625" style="167" customWidth="1"/>
    <col min="6919" max="6919" width="9.25390625" style="167" customWidth="1"/>
    <col min="6920" max="6920" width="9.25390625" style="167" bestFit="1" customWidth="1"/>
    <col min="6921" max="6921" width="13.125" style="167" customWidth="1"/>
    <col min="6922" max="6922" width="13.625" style="167" customWidth="1"/>
    <col min="6923" max="6923" width="9.625" style="167" customWidth="1"/>
    <col min="6924" max="6924" width="14.875" style="167" customWidth="1"/>
    <col min="6925" max="7164" width="9.125" style="167" customWidth="1"/>
    <col min="7165" max="7165" width="5.625" style="167" customWidth="1"/>
    <col min="7166" max="7166" width="33.625" style="167" customWidth="1"/>
    <col min="7167" max="7167" width="15.625" style="167" customWidth="1"/>
    <col min="7168" max="7168" width="9.625" style="167" customWidth="1"/>
    <col min="7169" max="7169" width="11.75390625" style="167" customWidth="1"/>
    <col min="7170" max="7170" width="13.125" style="167" customWidth="1"/>
    <col min="7171" max="7171" width="10.875" style="167" customWidth="1"/>
    <col min="7172" max="7172" width="9.25390625" style="167" bestFit="1" customWidth="1"/>
    <col min="7173" max="7173" width="12.125" style="167" customWidth="1"/>
    <col min="7174" max="7174" width="12.75390625" style="167" customWidth="1"/>
    <col min="7175" max="7175" width="9.25390625" style="167" customWidth="1"/>
    <col min="7176" max="7176" width="9.25390625" style="167" bestFit="1" customWidth="1"/>
    <col min="7177" max="7177" width="13.125" style="167" customWidth="1"/>
    <col min="7178" max="7178" width="13.625" style="167" customWidth="1"/>
    <col min="7179" max="7179" width="9.625" style="167" customWidth="1"/>
    <col min="7180" max="7180" width="14.875" style="167" customWidth="1"/>
    <col min="7181" max="7420" width="9.125" style="167" customWidth="1"/>
    <col min="7421" max="7421" width="5.625" style="167" customWidth="1"/>
    <col min="7422" max="7422" width="33.625" style="167" customWidth="1"/>
    <col min="7423" max="7423" width="15.625" style="167" customWidth="1"/>
    <col min="7424" max="7424" width="9.625" style="167" customWidth="1"/>
    <col min="7425" max="7425" width="11.75390625" style="167" customWidth="1"/>
    <col min="7426" max="7426" width="13.125" style="167" customWidth="1"/>
    <col min="7427" max="7427" width="10.875" style="167" customWidth="1"/>
    <col min="7428" max="7428" width="9.25390625" style="167" bestFit="1" customWidth="1"/>
    <col min="7429" max="7429" width="12.125" style="167" customWidth="1"/>
    <col min="7430" max="7430" width="12.75390625" style="167" customWidth="1"/>
    <col min="7431" max="7431" width="9.25390625" style="167" customWidth="1"/>
    <col min="7432" max="7432" width="9.25390625" style="167" bestFit="1" customWidth="1"/>
    <col min="7433" max="7433" width="13.125" style="167" customWidth="1"/>
    <col min="7434" max="7434" width="13.625" style="167" customWidth="1"/>
    <col min="7435" max="7435" width="9.625" style="167" customWidth="1"/>
    <col min="7436" max="7436" width="14.875" style="167" customWidth="1"/>
    <col min="7437" max="7676" width="9.125" style="167" customWidth="1"/>
    <col min="7677" max="7677" width="5.625" style="167" customWidth="1"/>
    <col min="7678" max="7678" width="33.625" style="167" customWidth="1"/>
    <col min="7679" max="7679" width="15.625" style="167" customWidth="1"/>
    <col min="7680" max="7680" width="9.625" style="167" customWidth="1"/>
    <col min="7681" max="7681" width="11.75390625" style="167" customWidth="1"/>
    <col min="7682" max="7682" width="13.125" style="167" customWidth="1"/>
    <col min="7683" max="7683" width="10.875" style="167" customWidth="1"/>
    <col min="7684" max="7684" width="9.25390625" style="167" bestFit="1" customWidth="1"/>
    <col min="7685" max="7685" width="12.125" style="167" customWidth="1"/>
    <col min="7686" max="7686" width="12.75390625" style="167" customWidth="1"/>
    <col min="7687" max="7687" width="9.25390625" style="167" customWidth="1"/>
    <col min="7688" max="7688" width="9.25390625" style="167" bestFit="1" customWidth="1"/>
    <col min="7689" max="7689" width="13.125" style="167" customWidth="1"/>
    <col min="7690" max="7690" width="13.625" style="167" customWidth="1"/>
    <col min="7691" max="7691" width="9.625" style="167" customWidth="1"/>
    <col min="7692" max="7692" width="14.875" style="167" customWidth="1"/>
    <col min="7693" max="7932" width="9.125" style="167" customWidth="1"/>
    <col min="7933" max="7933" width="5.625" style="167" customWidth="1"/>
    <col min="7934" max="7934" width="33.625" style="167" customWidth="1"/>
    <col min="7935" max="7935" width="15.625" style="167" customWidth="1"/>
    <col min="7936" max="7936" width="9.625" style="167" customWidth="1"/>
    <col min="7937" max="7937" width="11.75390625" style="167" customWidth="1"/>
    <col min="7938" max="7938" width="13.125" style="167" customWidth="1"/>
    <col min="7939" max="7939" width="10.875" style="167" customWidth="1"/>
    <col min="7940" max="7940" width="9.25390625" style="167" bestFit="1" customWidth="1"/>
    <col min="7941" max="7941" width="12.125" style="167" customWidth="1"/>
    <col min="7942" max="7942" width="12.75390625" style="167" customWidth="1"/>
    <col min="7943" max="7943" width="9.25390625" style="167" customWidth="1"/>
    <col min="7944" max="7944" width="9.25390625" style="167" bestFit="1" customWidth="1"/>
    <col min="7945" max="7945" width="13.125" style="167" customWidth="1"/>
    <col min="7946" max="7946" width="13.625" style="167" customWidth="1"/>
    <col min="7947" max="7947" width="9.625" style="167" customWidth="1"/>
    <col min="7948" max="7948" width="14.875" style="167" customWidth="1"/>
    <col min="7949" max="8188" width="9.125" style="167" customWidth="1"/>
    <col min="8189" max="8189" width="5.625" style="167" customWidth="1"/>
    <col min="8190" max="8190" width="33.625" style="167" customWidth="1"/>
    <col min="8191" max="8191" width="15.625" style="167" customWidth="1"/>
    <col min="8192" max="8192" width="9.625" style="167" customWidth="1"/>
    <col min="8193" max="8193" width="11.75390625" style="167" customWidth="1"/>
    <col min="8194" max="8194" width="13.125" style="167" customWidth="1"/>
    <col min="8195" max="8195" width="10.875" style="167" customWidth="1"/>
    <col min="8196" max="8196" width="9.25390625" style="167" bestFit="1" customWidth="1"/>
    <col min="8197" max="8197" width="12.125" style="167" customWidth="1"/>
    <col min="8198" max="8198" width="12.75390625" style="167" customWidth="1"/>
    <col min="8199" max="8199" width="9.25390625" style="167" customWidth="1"/>
    <col min="8200" max="8200" width="9.25390625" style="167" bestFit="1" customWidth="1"/>
    <col min="8201" max="8201" width="13.125" style="167" customWidth="1"/>
    <col min="8202" max="8202" width="13.625" style="167" customWidth="1"/>
    <col min="8203" max="8203" width="9.625" style="167" customWidth="1"/>
    <col min="8204" max="8204" width="14.875" style="167" customWidth="1"/>
    <col min="8205" max="8444" width="9.125" style="167" customWidth="1"/>
    <col min="8445" max="8445" width="5.625" style="167" customWidth="1"/>
    <col min="8446" max="8446" width="33.625" style="167" customWidth="1"/>
    <col min="8447" max="8447" width="15.625" style="167" customWidth="1"/>
    <col min="8448" max="8448" width="9.625" style="167" customWidth="1"/>
    <col min="8449" max="8449" width="11.75390625" style="167" customWidth="1"/>
    <col min="8450" max="8450" width="13.125" style="167" customWidth="1"/>
    <col min="8451" max="8451" width="10.875" style="167" customWidth="1"/>
    <col min="8452" max="8452" width="9.25390625" style="167" bestFit="1" customWidth="1"/>
    <col min="8453" max="8453" width="12.125" style="167" customWidth="1"/>
    <col min="8454" max="8454" width="12.75390625" style="167" customWidth="1"/>
    <col min="8455" max="8455" width="9.25390625" style="167" customWidth="1"/>
    <col min="8456" max="8456" width="9.25390625" style="167" bestFit="1" customWidth="1"/>
    <col min="8457" max="8457" width="13.125" style="167" customWidth="1"/>
    <col min="8458" max="8458" width="13.625" style="167" customWidth="1"/>
    <col min="8459" max="8459" width="9.625" style="167" customWidth="1"/>
    <col min="8460" max="8460" width="14.875" style="167" customWidth="1"/>
    <col min="8461" max="8700" width="9.125" style="167" customWidth="1"/>
    <col min="8701" max="8701" width="5.625" style="167" customWidth="1"/>
    <col min="8702" max="8702" width="33.625" style="167" customWidth="1"/>
    <col min="8703" max="8703" width="15.625" style="167" customWidth="1"/>
    <col min="8704" max="8704" width="9.625" style="167" customWidth="1"/>
    <col min="8705" max="8705" width="11.75390625" style="167" customWidth="1"/>
    <col min="8706" max="8706" width="13.125" style="167" customWidth="1"/>
    <col min="8707" max="8707" width="10.875" style="167" customWidth="1"/>
    <col min="8708" max="8708" width="9.25390625" style="167" bestFit="1" customWidth="1"/>
    <col min="8709" max="8709" width="12.125" style="167" customWidth="1"/>
    <col min="8710" max="8710" width="12.75390625" style="167" customWidth="1"/>
    <col min="8711" max="8711" width="9.25390625" style="167" customWidth="1"/>
    <col min="8712" max="8712" width="9.25390625" style="167" bestFit="1" customWidth="1"/>
    <col min="8713" max="8713" width="13.125" style="167" customWidth="1"/>
    <col min="8714" max="8714" width="13.625" style="167" customWidth="1"/>
    <col min="8715" max="8715" width="9.625" style="167" customWidth="1"/>
    <col min="8716" max="8716" width="14.875" style="167" customWidth="1"/>
    <col min="8717" max="8956" width="9.125" style="167" customWidth="1"/>
    <col min="8957" max="8957" width="5.625" style="167" customWidth="1"/>
    <col min="8958" max="8958" width="33.625" style="167" customWidth="1"/>
    <col min="8959" max="8959" width="15.625" style="167" customWidth="1"/>
    <col min="8960" max="8960" width="9.625" style="167" customWidth="1"/>
    <col min="8961" max="8961" width="11.75390625" style="167" customWidth="1"/>
    <col min="8962" max="8962" width="13.125" style="167" customWidth="1"/>
    <col min="8963" max="8963" width="10.875" style="167" customWidth="1"/>
    <col min="8964" max="8964" width="9.25390625" style="167" bestFit="1" customWidth="1"/>
    <col min="8965" max="8965" width="12.125" style="167" customWidth="1"/>
    <col min="8966" max="8966" width="12.75390625" style="167" customWidth="1"/>
    <col min="8967" max="8967" width="9.25390625" style="167" customWidth="1"/>
    <col min="8968" max="8968" width="9.25390625" style="167" bestFit="1" customWidth="1"/>
    <col min="8969" max="8969" width="13.125" style="167" customWidth="1"/>
    <col min="8970" max="8970" width="13.625" style="167" customWidth="1"/>
    <col min="8971" max="8971" width="9.625" style="167" customWidth="1"/>
    <col min="8972" max="8972" width="14.875" style="167" customWidth="1"/>
    <col min="8973" max="9212" width="9.125" style="167" customWidth="1"/>
    <col min="9213" max="9213" width="5.625" style="167" customWidth="1"/>
    <col min="9214" max="9214" width="33.625" style="167" customWidth="1"/>
    <col min="9215" max="9215" width="15.625" style="167" customWidth="1"/>
    <col min="9216" max="9216" width="9.625" style="167" customWidth="1"/>
    <col min="9217" max="9217" width="11.75390625" style="167" customWidth="1"/>
    <col min="9218" max="9218" width="13.125" style="167" customWidth="1"/>
    <col min="9219" max="9219" width="10.875" style="167" customWidth="1"/>
    <col min="9220" max="9220" width="9.25390625" style="167" bestFit="1" customWidth="1"/>
    <col min="9221" max="9221" width="12.125" style="167" customWidth="1"/>
    <col min="9222" max="9222" width="12.75390625" style="167" customWidth="1"/>
    <col min="9223" max="9223" width="9.25390625" style="167" customWidth="1"/>
    <col min="9224" max="9224" width="9.25390625" style="167" bestFit="1" customWidth="1"/>
    <col min="9225" max="9225" width="13.125" style="167" customWidth="1"/>
    <col min="9226" max="9226" width="13.625" style="167" customWidth="1"/>
    <col min="9227" max="9227" width="9.625" style="167" customWidth="1"/>
    <col min="9228" max="9228" width="14.875" style="167" customWidth="1"/>
    <col min="9229" max="9468" width="9.125" style="167" customWidth="1"/>
    <col min="9469" max="9469" width="5.625" style="167" customWidth="1"/>
    <col min="9470" max="9470" width="33.625" style="167" customWidth="1"/>
    <col min="9471" max="9471" width="15.625" style="167" customWidth="1"/>
    <col min="9472" max="9472" width="9.625" style="167" customWidth="1"/>
    <col min="9473" max="9473" width="11.75390625" style="167" customWidth="1"/>
    <col min="9474" max="9474" width="13.125" style="167" customWidth="1"/>
    <col min="9475" max="9475" width="10.875" style="167" customWidth="1"/>
    <col min="9476" max="9476" width="9.25390625" style="167" bestFit="1" customWidth="1"/>
    <col min="9477" max="9477" width="12.125" style="167" customWidth="1"/>
    <col min="9478" max="9478" width="12.75390625" style="167" customWidth="1"/>
    <col min="9479" max="9479" width="9.25390625" style="167" customWidth="1"/>
    <col min="9480" max="9480" width="9.25390625" style="167" bestFit="1" customWidth="1"/>
    <col min="9481" max="9481" width="13.125" style="167" customWidth="1"/>
    <col min="9482" max="9482" width="13.625" style="167" customWidth="1"/>
    <col min="9483" max="9483" width="9.625" style="167" customWidth="1"/>
    <col min="9484" max="9484" width="14.875" style="167" customWidth="1"/>
    <col min="9485" max="9724" width="9.125" style="167" customWidth="1"/>
    <col min="9725" max="9725" width="5.625" style="167" customWidth="1"/>
    <col min="9726" max="9726" width="33.625" style="167" customWidth="1"/>
    <col min="9727" max="9727" width="15.625" style="167" customWidth="1"/>
    <col min="9728" max="9728" width="9.625" style="167" customWidth="1"/>
    <col min="9729" max="9729" width="11.75390625" style="167" customWidth="1"/>
    <col min="9730" max="9730" width="13.125" style="167" customWidth="1"/>
    <col min="9731" max="9731" width="10.875" style="167" customWidth="1"/>
    <col min="9732" max="9732" width="9.25390625" style="167" bestFit="1" customWidth="1"/>
    <col min="9733" max="9733" width="12.125" style="167" customWidth="1"/>
    <col min="9734" max="9734" width="12.75390625" style="167" customWidth="1"/>
    <col min="9735" max="9735" width="9.25390625" style="167" customWidth="1"/>
    <col min="9736" max="9736" width="9.25390625" style="167" bestFit="1" customWidth="1"/>
    <col min="9737" max="9737" width="13.125" style="167" customWidth="1"/>
    <col min="9738" max="9738" width="13.625" style="167" customWidth="1"/>
    <col min="9739" max="9739" width="9.625" style="167" customWidth="1"/>
    <col min="9740" max="9740" width="14.875" style="167" customWidth="1"/>
    <col min="9741" max="9980" width="9.125" style="167" customWidth="1"/>
    <col min="9981" max="9981" width="5.625" style="167" customWidth="1"/>
    <col min="9982" max="9982" width="33.625" style="167" customWidth="1"/>
    <col min="9983" max="9983" width="15.625" style="167" customWidth="1"/>
    <col min="9984" max="9984" width="9.625" style="167" customWidth="1"/>
    <col min="9985" max="9985" width="11.75390625" style="167" customWidth="1"/>
    <col min="9986" max="9986" width="13.125" style="167" customWidth="1"/>
    <col min="9987" max="9987" width="10.875" style="167" customWidth="1"/>
    <col min="9988" max="9988" width="9.25390625" style="167" bestFit="1" customWidth="1"/>
    <col min="9989" max="9989" width="12.125" style="167" customWidth="1"/>
    <col min="9990" max="9990" width="12.75390625" style="167" customWidth="1"/>
    <col min="9991" max="9991" width="9.25390625" style="167" customWidth="1"/>
    <col min="9992" max="9992" width="9.25390625" style="167" bestFit="1" customWidth="1"/>
    <col min="9993" max="9993" width="13.125" style="167" customWidth="1"/>
    <col min="9994" max="9994" width="13.625" style="167" customWidth="1"/>
    <col min="9995" max="9995" width="9.625" style="167" customWidth="1"/>
    <col min="9996" max="9996" width="14.875" style="167" customWidth="1"/>
    <col min="9997" max="10236" width="9.125" style="167" customWidth="1"/>
    <col min="10237" max="10237" width="5.625" style="167" customWidth="1"/>
    <col min="10238" max="10238" width="33.625" style="167" customWidth="1"/>
    <col min="10239" max="10239" width="15.625" style="167" customWidth="1"/>
    <col min="10240" max="10240" width="9.625" style="167" customWidth="1"/>
    <col min="10241" max="10241" width="11.75390625" style="167" customWidth="1"/>
    <col min="10242" max="10242" width="13.125" style="167" customWidth="1"/>
    <col min="10243" max="10243" width="10.875" style="167" customWidth="1"/>
    <col min="10244" max="10244" width="9.25390625" style="167" bestFit="1" customWidth="1"/>
    <col min="10245" max="10245" width="12.125" style="167" customWidth="1"/>
    <col min="10246" max="10246" width="12.75390625" style="167" customWidth="1"/>
    <col min="10247" max="10247" width="9.25390625" style="167" customWidth="1"/>
    <col min="10248" max="10248" width="9.25390625" style="167" bestFit="1" customWidth="1"/>
    <col min="10249" max="10249" width="13.125" style="167" customWidth="1"/>
    <col min="10250" max="10250" width="13.625" style="167" customWidth="1"/>
    <col min="10251" max="10251" width="9.625" style="167" customWidth="1"/>
    <col min="10252" max="10252" width="14.875" style="167" customWidth="1"/>
    <col min="10253" max="10492" width="9.125" style="167" customWidth="1"/>
    <col min="10493" max="10493" width="5.625" style="167" customWidth="1"/>
    <col min="10494" max="10494" width="33.625" style="167" customWidth="1"/>
    <col min="10495" max="10495" width="15.625" style="167" customWidth="1"/>
    <col min="10496" max="10496" width="9.625" style="167" customWidth="1"/>
    <col min="10497" max="10497" width="11.75390625" style="167" customWidth="1"/>
    <col min="10498" max="10498" width="13.125" style="167" customWidth="1"/>
    <col min="10499" max="10499" width="10.875" style="167" customWidth="1"/>
    <col min="10500" max="10500" width="9.25390625" style="167" bestFit="1" customWidth="1"/>
    <col min="10501" max="10501" width="12.125" style="167" customWidth="1"/>
    <col min="10502" max="10502" width="12.75390625" style="167" customWidth="1"/>
    <col min="10503" max="10503" width="9.25390625" style="167" customWidth="1"/>
    <col min="10504" max="10504" width="9.25390625" style="167" bestFit="1" customWidth="1"/>
    <col min="10505" max="10505" width="13.125" style="167" customWidth="1"/>
    <col min="10506" max="10506" width="13.625" style="167" customWidth="1"/>
    <col min="10507" max="10507" width="9.625" style="167" customWidth="1"/>
    <col min="10508" max="10508" width="14.875" style="167" customWidth="1"/>
    <col min="10509" max="10748" width="9.125" style="167" customWidth="1"/>
    <col min="10749" max="10749" width="5.625" style="167" customWidth="1"/>
    <col min="10750" max="10750" width="33.625" style="167" customWidth="1"/>
    <col min="10751" max="10751" width="15.625" style="167" customWidth="1"/>
    <col min="10752" max="10752" width="9.625" style="167" customWidth="1"/>
    <col min="10753" max="10753" width="11.75390625" style="167" customWidth="1"/>
    <col min="10754" max="10754" width="13.125" style="167" customWidth="1"/>
    <col min="10755" max="10755" width="10.875" style="167" customWidth="1"/>
    <col min="10756" max="10756" width="9.25390625" style="167" bestFit="1" customWidth="1"/>
    <col min="10757" max="10757" width="12.125" style="167" customWidth="1"/>
    <col min="10758" max="10758" width="12.75390625" style="167" customWidth="1"/>
    <col min="10759" max="10759" width="9.25390625" style="167" customWidth="1"/>
    <col min="10760" max="10760" width="9.25390625" style="167" bestFit="1" customWidth="1"/>
    <col min="10761" max="10761" width="13.125" style="167" customWidth="1"/>
    <col min="10762" max="10762" width="13.625" style="167" customWidth="1"/>
    <col min="10763" max="10763" width="9.625" style="167" customWidth="1"/>
    <col min="10764" max="10764" width="14.875" style="167" customWidth="1"/>
    <col min="10765" max="11004" width="9.125" style="167" customWidth="1"/>
    <col min="11005" max="11005" width="5.625" style="167" customWidth="1"/>
    <col min="11006" max="11006" width="33.625" style="167" customWidth="1"/>
    <col min="11007" max="11007" width="15.625" style="167" customWidth="1"/>
    <col min="11008" max="11008" width="9.625" style="167" customWidth="1"/>
    <col min="11009" max="11009" width="11.75390625" style="167" customWidth="1"/>
    <col min="11010" max="11010" width="13.125" style="167" customWidth="1"/>
    <col min="11011" max="11011" width="10.875" style="167" customWidth="1"/>
    <col min="11012" max="11012" width="9.25390625" style="167" bestFit="1" customWidth="1"/>
    <col min="11013" max="11013" width="12.125" style="167" customWidth="1"/>
    <col min="11014" max="11014" width="12.75390625" style="167" customWidth="1"/>
    <col min="11015" max="11015" width="9.25390625" style="167" customWidth="1"/>
    <col min="11016" max="11016" width="9.25390625" style="167" bestFit="1" customWidth="1"/>
    <col min="11017" max="11017" width="13.125" style="167" customWidth="1"/>
    <col min="11018" max="11018" width="13.625" style="167" customWidth="1"/>
    <col min="11019" max="11019" width="9.625" style="167" customWidth="1"/>
    <col min="11020" max="11020" width="14.875" style="167" customWidth="1"/>
    <col min="11021" max="11260" width="9.125" style="167" customWidth="1"/>
    <col min="11261" max="11261" width="5.625" style="167" customWidth="1"/>
    <col min="11262" max="11262" width="33.625" style="167" customWidth="1"/>
    <col min="11263" max="11263" width="15.625" style="167" customWidth="1"/>
    <col min="11264" max="11264" width="9.625" style="167" customWidth="1"/>
    <col min="11265" max="11265" width="11.75390625" style="167" customWidth="1"/>
    <col min="11266" max="11266" width="13.125" style="167" customWidth="1"/>
    <col min="11267" max="11267" width="10.875" style="167" customWidth="1"/>
    <col min="11268" max="11268" width="9.25390625" style="167" bestFit="1" customWidth="1"/>
    <col min="11269" max="11269" width="12.125" style="167" customWidth="1"/>
    <col min="11270" max="11270" width="12.75390625" style="167" customWidth="1"/>
    <col min="11271" max="11271" width="9.25390625" style="167" customWidth="1"/>
    <col min="11272" max="11272" width="9.25390625" style="167" bestFit="1" customWidth="1"/>
    <col min="11273" max="11273" width="13.125" style="167" customWidth="1"/>
    <col min="11274" max="11274" width="13.625" style="167" customWidth="1"/>
    <col min="11275" max="11275" width="9.625" style="167" customWidth="1"/>
    <col min="11276" max="11276" width="14.875" style="167" customWidth="1"/>
    <col min="11277" max="11516" width="9.125" style="167" customWidth="1"/>
    <col min="11517" max="11517" width="5.625" style="167" customWidth="1"/>
    <col min="11518" max="11518" width="33.625" style="167" customWidth="1"/>
    <col min="11519" max="11519" width="15.625" style="167" customWidth="1"/>
    <col min="11520" max="11520" width="9.625" style="167" customWidth="1"/>
    <col min="11521" max="11521" width="11.75390625" style="167" customWidth="1"/>
    <col min="11522" max="11522" width="13.125" style="167" customWidth="1"/>
    <col min="11523" max="11523" width="10.875" style="167" customWidth="1"/>
    <col min="11524" max="11524" width="9.25390625" style="167" bestFit="1" customWidth="1"/>
    <col min="11525" max="11525" width="12.125" style="167" customWidth="1"/>
    <col min="11526" max="11526" width="12.75390625" style="167" customWidth="1"/>
    <col min="11527" max="11527" width="9.25390625" style="167" customWidth="1"/>
    <col min="11528" max="11528" width="9.25390625" style="167" bestFit="1" customWidth="1"/>
    <col min="11529" max="11529" width="13.125" style="167" customWidth="1"/>
    <col min="11530" max="11530" width="13.625" style="167" customWidth="1"/>
    <col min="11531" max="11531" width="9.625" style="167" customWidth="1"/>
    <col min="11532" max="11532" width="14.875" style="167" customWidth="1"/>
    <col min="11533" max="11772" width="9.125" style="167" customWidth="1"/>
    <col min="11773" max="11773" width="5.625" style="167" customWidth="1"/>
    <col min="11774" max="11774" width="33.625" style="167" customWidth="1"/>
    <col min="11775" max="11775" width="15.625" style="167" customWidth="1"/>
    <col min="11776" max="11776" width="9.625" style="167" customWidth="1"/>
    <col min="11777" max="11777" width="11.75390625" style="167" customWidth="1"/>
    <col min="11778" max="11778" width="13.125" style="167" customWidth="1"/>
    <col min="11779" max="11779" width="10.875" style="167" customWidth="1"/>
    <col min="11780" max="11780" width="9.25390625" style="167" bestFit="1" customWidth="1"/>
    <col min="11781" max="11781" width="12.125" style="167" customWidth="1"/>
    <col min="11782" max="11782" width="12.75390625" style="167" customWidth="1"/>
    <col min="11783" max="11783" width="9.25390625" style="167" customWidth="1"/>
    <col min="11784" max="11784" width="9.25390625" style="167" bestFit="1" customWidth="1"/>
    <col min="11785" max="11785" width="13.125" style="167" customWidth="1"/>
    <col min="11786" max="11786" width="13.625" style="167" customWidth="1"/>
    <col min="11787" max="11787" width="9.625" style="167" customWidth="1"/>
    <col min="11788" max="11788" width="14.875" style="167" customWidth="1"/>
    <col min="11789" max="12028" width="9.125" style="167" customWidth="1"/>
    <col min="12029" max="12029" width="5.625" style="167" customWidth="1"/>
    <col min="12030" max="12030" width="33.625" style="167" customWidth="1"/>
    <col min="12031" max="12031" width="15.625" style="167" customWidth="1"/>
    <col min="12032" max="12032" width="9.625" style="167" customWidth="1"/>
    <col min="12033" max="12033" width="11.75390625" style="167" customWidth="1"/>
    <col min="12034" max="12034" width="13.125" style="167" customWidth="1"/>
    <col min="12035" max="12035" width="10.875" style="167" customWidth="1"/>
    <col min="12036" max="12036" width="9.25390625" style="167" bestFit="1" customWidth="1"/>
    <col min="12037" max="12037" width="12.125" style="167" customWidth="1"/>
    <col min="12038" max="12038" width="12.75390625" style="167" customWidth="1"/>
    <col min="12039" max="12039" width="9.25390625" style="167" customWidth="1"/>
    <col min="12040" max="12040" width="9.25390625" style="167" bestFit="1" customWidth="1"/>
    <col min="12041" max="12041" width="13.125" style="167" customWidth="1"/>
    <col min="12042" max="12042" width="13.625" style="167" customWidth="1"/>
    <col min="12043" max="12043" width="9.625" style="167" customWidth="1"/>
    <col min="12044" max="12044" width="14.875" style="167" customWidth="1"/>
    <col min="12045" max="12284" width="9.125" style="167" customWidth="1"/>
    <col min="12285" max="12285" width="5.625" style="167" customWidth="1"/>
    <col min="12286" max="12286" width="33.625" style="167" customWidth="1"/>
    <col min="12287" max="12287" width="15.625" style="167" customWidth="1"/>
    <col min="12288" max="12288" width="9.625" style="167" customWidth="1"/>
    <col min="12289" max="12289" width="11.75390625" style="167" customWidth="1"/>
    <col min="12290" max="12290" width="13.125" style="167" customWidth="1"/>
    <col min="12291" max="12291" width="10.875" style="167" customWidth="1"/>
    <col min="12292" max="12292" width="9.25390625" style="167" bestFit="1" customWidth="1"/>
    <col min="12293" max="12293" width="12.125" style="167" customWidth="1"/>
    <col min="12294" max="12294" width="12.75390625" style="167" customWidth="1"/>
    <col min="12295" max="12295" width="9.25390625" style="167" customWidth="1"/>
    <col min="12296" max="12296" width="9.25390625" style="167" bestFit="1" customWidth="1"/>
    <col min="12297" max="12297" width="13.125" style="167" customWidth="1"/>
    <col min="12298" max="12298" width="13.625" style="167" customWidth="1"/>
    <col min="12299" max="12299" width="9.625" style="167" customWidth="1"/>
    <col min="12300" max="12300" width="14.875" style="167" customWidth="1"/>
    <col min="12301" max="12540" width="9.125" style="167" customWidth="1"/>
    <col min="12541" max="12541" width="5.625" style="167" customWidth="1"/>
    <col min="12542" max="12542" width="33.625" style="167" customWidth="1"/>
    <col min="12543" max="12543" width="15.625" style="167" customWidth="1"/>
    <col min="12544" max="12544" width="9.625" style="167" customWidth="1"/>
    <col min="12545" max="12545" width="11.75390625" style="167" customWidth="1"/>
    <col min="12546" max="12546" width="13.125" style="167" customWidth="1"/>
    <col min="12547" max="12547" width="10.875" style="167" customWidth="1"/>
    <col min="12548" max="12548" width="9.25390625" style="167" bestFit="1" customWidth="1"/>
    <col min="12549" max="12549" width="12.125" style="167" customWidth="1"/>
    <col min="12550" max="12550" width="12.75390625" style="167" customWidth="1"/>
    <col min="12551" max="12551" width="9.25390625" style="167" customWidth="1"/>
    <col min="12552" max="12552" width="9.25390625" style="167" bestFit="1" customWidth="1"/>
    <col min="12553" max="12553" width="13.125" style="167" customWidth="1"/>
    <col min="12554" max="12554" width="13.625" style="167" customWidth="1"/>
    <col min="12555" max="12555" width="9.625" style="167" customWidth="1"/>
    <col min="12556" max="12556" width="14.875" style="167" customWidth="1"/>
    <col min="12557" max="12796" width="9.125" style="167" customWidth="1"/>
    <col min="12797" max="12797" width="5.625" style="167" customWidth="1"/>
    <col min="12798" max="12798" width="33.625" style="167" customWidth="1"/>
    <col min="12799" max="12799" width="15.625" style="167" customWidth="1"/>
    <col min="12800" max="12800" width="9.625" style="167" customWidth="1"/>
    <col min="12801" max="12801" width="11.75390625" style="167" customWidth="1"/>
    <col min="12802" max="12802" width="13.125" style="167" customWidth="1"/>
    <col min="12803" max="12803" width="10.875" style="167" customWidth="1"/>
    <col min="12804" max="12804" width="9.25390625" style="167" bestFit="1" customWidth="1"/>
    <col min="12805" max="12805" width="12.125" style="167" customWidth="1"/>
    <col min="12806" max="12806" width="12.75390625" style="167" customWidth="1"/>
    <col min="12807" max="12807" width="9.25390625" style="167" customWidth="1"/>
    <col min="12808" max="12808" width="9.25390625" style="167" bestFit="1" customWidth="1"/>
    <col min="12809" max="12809" width="13.125" style="167" customWidth="1"/>
    <col min="12810" max="12810" width="13.625" style="167" customWidth="1"/>
    <col min="12811" max="12811" width="9.625" style="167" customWidth="1"/>
    <col min="12812" max="12812" width="14.875" style="167" customWidth="1"/>
    <col min="12813" max="13052" width="9.125" style="167" customWidth="1"/>
    <col min="13053" max="13053" width="5.625" style="167" customWidth="1"/>
    <col min="13054" max="13054" width="33.625" style="167" customWidth="1"/>
    <col min="13055" max="13055" width="15.625" style="167" customWidth="1"/>
    <col min="13056" max="13056" width="9.625" style="167" customWidth="1"/>
    <col min="13057" max="13057" width="11.75390625" style="167" customWidth="1"/>
    <col min="13058" max="13058" width="13.125" style="167" customWidth="1"/>
    <col min="13059" max="13059" width="10.875" style="167" customWidth="1"/>
    <col min="13060" max="13060" width="9.25390625" style="167" bestFit="1" customWidth="1"/>
    <col min="13061" max="13061" width="12.125" style="167" customWidth="1"/>
    <col min="13062" max="13062" width="12.75390625" style="167" customWidth="1"/>
    <col min="13063" max="13063" width="9.25390625" style="167" customWidth="1"/>
    <col min="13064" max="13064" width="9.25390625" style="167" bestFit="1" customWidth="1"/>
    <col min="13065" max="13065" width="13.125" style="167" customWidth="1"/>
    <col min="13066" max="13066" width="13.625" style="167" customWidth="1"/>
    <col min="13067" max="13067" width="9.625" style="167" customWidth="1"/>
    <col min="13068" max="13068" width="14.875" style="167" customWidth="1"/>
    <col min="13069" max="13308" width="9.125" style="167" customWidth="1"/>
    <col min="13309" max="13309" width="5.625" style="167" customWidth="1"/>
    <col min="13310" max="13310" width="33.625" style="167" customWidth="1"/>
    <col min="13311" max="13311" width="15.625" style="167" customWidth="1"/>
    <col min="13312" max="13312" width="9.625" style="167" customWidth="1"/>
    <col min="13313" max="13313" width="11.75390625" style="167" customWidth="1"/>
    <col min="13314" max="13314" width="13.125" style="167" customWidth="1"/>
    <col min="13315" max="13315" width="10.875" style="167" customWidth="1"/>
    <col min="13316" max="13316" width="9.25390625" style="167" bestFit="1" customWidth="1"/>
    <col min="13317" max="13317" width="12.125" style="167" customWidth="1"/>
    <col min="13318" max="13318" width="12.75390625" style="167" customWidth="1"/>
    <col min="13319" max="13319" width="9.25390625" style="167" customWidth="1"/>
    <col min="13320" max="13320" width="9.25390625" style="167" bestFit="1" customWidth="1"/>
    <col min="13321" max="13321" width="13.125" style="167" customWidth="1"/>
    <col min="13322" max="13322" width="13.625" style="167" customWidth="1"/>
    <col min="13323" max="13323" width="9.625" style="167" customWidth="1"/>
    <col min="13324" max="13324" width="14.875" style="167" customWidth="1"/>
    <col min="13325" max="13564" width="9.125" style="167" customWidth="1"/>
    <col min="13565" max="13565" width="5.625" style="167" customWidth="1"/>
    <col min="13566" max="13566" width="33.625" style="167" customWidth="1"/>
    <col min="13567" max="13567" width="15.625" style="167" customWidth="1"/>
    <col min="13568" max="13568" width="9.625" style="167" customWidth="1"/>
    <col min="13569" max="13569" width="11.75390625" style="167" customWidth="1"/>
    <col min="13570" max="13570" width="13.125" style="167" customWidth="1"/>
    <col min="13571" max="13571" width="10.875" style="167" customWidth="1"/>
    <col min="13572" max="13572" width="9.25390625" style="167" bestFit="1" customWidth="1"/>
    <col min="13573" max="13573" width="12.125" style="167" customWidth="1"/>
    <col min="13574" max="13574" width="12.75390625" style="167" customWidth="1"/>
    <col min="13575" max="13575" width="9.25390625" style="167" customWidth="1"/>
    <col min="13576" max="13576" width="9.25390625" style="167" bestFit="1" customWidth="1"/>
    <col min="13577" max="13577" width="13.125" style="167" customWidth="1"/>
    <col min="13578" max="13578" width="13.625" style="167" customWidth="1"/>
    <col min="13579" max="13579" width="9.625" style="167" customWidth="1"/>
    <col min="13580" max="13580" width="14.875" style="167" customWidth="1"/>
    <col min="13581" max="13820" width="9.125" style="167" customWidth="1"/>
    <col min="13821" max="13821" width="5.625" style="167" customWidth="1"/>
    <col min="13822" max="13822" width="33.625" style="167" customWidth="1"/>
    <col min="13823" max="13823" width="15.625" style="167" customWidth="1"/>
    <col min="13824" max="13824" width="9.625" style="167" customWidth="1"/>
    <col min="13825" max="13825" width="11.75390625" style="167" customWidth="1"/>
    <col min="13826" max="13826" width="13.125" style="167" customWidth="1"/>
    <col min="13827" max="13827" width="10.875" style="167" customWidth="1"/>
    <col min="13828" max="13828" width="9.25390625" style="167" bestFit="1" customWidth="1"/>
    <col min="13829" max="13829" width="12.125" style="167" customWidth="1"/>
    <col min="13830" max="13830" width="12.75390625" style="167" customWidth="1"/>
    <col min="13831" max="13831" width="9.25390625" style="167" customWidth="1"/>
    <col min="13832" max="13832" width="9.25390625" style="167" bestFit="1" customWidth="1"/>
    <col min="13833" max="13833" width="13.125" style="167" customWidth="1"/>
    <col min="13834" max="13834" width="13.625" style="167" customWidth="1"/>
    <col min="13835" max="13835" width="9.625" style="167" customWidth="1"/>
    <col min="13836" max="13836" width="14.875" style="167" customWidth="1"/>
    <col min="13837" max="14076" width="9.125" style="167" customWidth="1"/>
    <col min="14077" max="14077" width="5.625" style="167" customWidth="1"/>
    <col min="14078" max="14078" width="33.625" style="167" customWidth="1"/>
    <col min="14079" max="14079" width="15.625" style="167" customWidth="1"/>
    <col min="14080" max="14080" width="9.625" style="167" customWidth="1"/>
    <col min="14081" max="14081" width="11.75390625" style="167" customWidth="1"/>
    <col min="14082" max="14082" width="13.125" style="167" customWidth="1"/>
    <col min="14083" max="14083" width="10.875" style="167" customWidth="1"/>
    <col min="14084" max="14084" width="9.25390625" style="167" bestFit="1" customWidth="1"/>
    <col min="14085" max="14085" width="12.125" style="167" customWidth="1"/>
    <col min="14086" max="14086" width="12.75390625" style="167" customWidth="1"/>
    <col min="14087" max="14087" width="9.25390625" style="167" customWidth="1"/>
    <col min="14088" max="14088" width="9.25390625" style="167" bestFit="1" customWidth="1"/>
    <col min="14089" max="14089" width="13.125" style="167" customWidth="1"/>
    <col min="14090" max="14090" width="13.625" style="167" customWidth="1"/>
    <col min="14091" max="14091" width="9.625" style="167" customWidth="1"/>
    <col min="14092" max="14092" width="14.875" style="167" customWidth="1"/>
    <col min="14093" max="14332" width="9.125" style="167" customWidth="1"/>
    <col min="14333" max="14333" width="5.625" style="167" customWidth="1"/>
    <col min="14334" max="14334" width="33.625" style="167" customWidth="1"/>
    <col min="14335" max="14335" width="15.625" style="167" customWidth="1"/>
    <col min="14336" max="14336" width="9.625" style="167" customWidth="1"/>
    <col min="14337" max="14337" width="11.75390625" style="167" customWidth="1"/>
    <col min="14338" max="14338" width="13.125" style="167" customWidth="1"/>
    <col min="14339" max="14339" width="10.875" style="167" customWidth="1"/>
    <col min="14340" max="14340" width="9.25390625" style="167" bestFit="1" customWidth="1"/>
    <col min="14341" max="14341" width="12.125" style="167" customWidth="1"/>
    <col min="14342" max="14342" width="12.75390625" style="167" customWidth="1"/>
    <col min="14343" max="14343" width="9.25390625" style="167" customWidth="1"/>
    <col min="14344" max="14344" width="9.25390625" style="167" bestFit="1" customWidth="1"/>
    <col min="14345" max="14345" width="13.125" style="167" customWidth="1"/>
    <col min="14346" max="14346" width="13.625" style="167" customWidth="1"/>
    <col min="14347" max="14347" width="9.625" style="167" customWidth="1"/>
    <col min="14348" max="14348" width="14.875" style="167" customWidth="1"/>
    <col min="14349" max="14588" width="9.125" style="167" customWidth="1"/>
    <col min="14589" max="14589" width="5.625" style="167" customWidth="1"/>
    <col min="14590" max="14590" width="33.625" style="167" customWidth="1"/>
    <col min="14591" max="14591" width="15.625" style="167" customWidth="1"/>
    <col min="14592" max="14592" width="9.625" style="167" customWidth="1"/>
    <col min="14593" max="14593" width="11.75390625" style="167" customWidth="1"/>
    <col min="14594" max="14594" width="13.125" style="167" customWidth="1"/>
    <col min="14595" max="14595" width="10.875" style="167" customWidth="1"/>
    <col min="14596" max="14596" width="9.25390625" style="167" bestFit="1" customWidth="1"/>
    <col min="14597" max="14597" width="12.125" style="167" customWidth="1"/>
    <col min="14598" max="14598" width="12.75390625" style="167" customWidth="1"/>
    <col min="14599" max="14599" width="9.25390625" style="167" customWidth="1"/>
    <col min="14600" max="14600" width="9.25390625" style="167" bestFit="1" customWidth="1"/>
    <col min="14601" max="14601" width="13.125" style="167" customWidth="1"/>
    <col min="14602" max="14602" width="13.625" style="167" customWidth="1"/>
    <col min="14603" max="14603" width="9.625" style="167" customWidth="1"/>
    <col min="14604" max="14604" width="14.875" style="167" customWidth="1"/>
    <col min="14605" max="14844" width="9.125" style="167" customWidth="1"/>
    <col min="14845" max="14845" width="5.625" style="167" customWidth="1"/>
    <col min="14846" max="14846" width="33.625" style="167" customWidth="1"/>
    <col min="14847" max="14847" width="15.625" style="167" customWidth="1"/>
    <col min="14848" max="14848" width="9.625" style="167" customWidth="1"/>
    <col min="14849" max="14849" width="11.75390625" style="167" customWidth="1"/>
    <col min="14850" max="14850" width="13.125" style="167" customWidth="1"/>
    <col min="14851" max="14851" width="10.875" style="167" customWidth="1"/>
    <col min="14852" max="14852" width="9.25390625" style="167" bestFit="1" customWidth="1"/>
    <col min="14853" max="14853" width="12.125" style="167" customWidth="1"/>
    <col min="14854" max="14854" width="12.75390625" style="167" customWidth="1"/>
    <col min="14855" max="14855" width="9.25390625" style="167" customWidth="1"/>
    <col min="14856" max="14856" width="9.25390625" style="167" bestFit="1" customWidth="1"/>
    <col min="14857" max="14857" width="13.125" style="167" customWidth="1"/>
    <col min="14858" max="14858" width="13.625" style="167" customWidth="1"/>
    <col min="14859" max="14859" width="9.625" style="167" customWidth="1"/>
    <col min="14860" max="14860" width="14.875" style="167" customWidth="1"/>
    <col min="14861" max="15100" width="9.125" style="167" customWidth="1"/>
    <col min="15101" max="15101" width="5.625" style="167" customWidth="1"/>
    <col min="15102" max="15102" width="33.625" style="167" customWidth="1"/>
    <col min="15103" max="15103" width="15.625" style="167" customWidth="1"/>
    <col min="15104" max="15104" width="9.625" style="167" customWidth="1"/>
    <col min="15105" max="15105" width="11.75390625" style="167" customWidth="1"/>
    <col min="15106" max="15106" width="13.125" style="167" customWidth="1"/>
    <col min="15107" max="15107" width="10.875" style="167" customWidth="1"/>
    <col min="15108" max="15108" width="9.25390625" style="167" bestFit="1" customWidth="1"/>
    <col min="15109" max="15109" width="12.125" style="167" customWidth="1"/>
    <col min="15110" max="15110" width="12.75390625" style="167" customWidth="1"/>
    <col min="15111" max="15111" width="9.25390625" style="167" customWidth="1"/>
    <col min="15112" max="15112" width="9.25390625" style="167" bestFit="1" customWidth="1"/>
    <col min="15113" max="15113" width="13.125" style="167" customWidth="1"/>
    <col min="15114" max="15114" width="13.625" style="167" customWidth="1"/>
    <col min="15115" max="15115" width="9.625" style="167" customWidth="1"/>
    <col min="15116" max="15116" width="14.875" style="167" customWidth="1"/>
    <col min="15117" max="15356" width="9.125" style="167" customWidth="1"/>
    <col min="15357" max="15357" width="5.625" style="167" customWidth="1"/>
    <col min="15358" max="15358" width="33.625" style="167" customWidth="1"/>
    <col min="15359" max="15359" width="15.625" style="167" customWidth="1"/>
    <col min="15360" max="15360" width="9.625" style="167" customWidth="1"/>
    <col min="15361" max="15361" width="11.75390625" style="167" customWidth="1"/>
    <col min="15362" max="15362" width="13.125" style="167" customWidth="1"/>
    <col min="15363" max="15363" width="10.875" style="167" customWidth="1"/>
    <col min="15364" max="15364" width="9.25390625" style="167" bestFit="1" customWidth="1"/>
    <col min="15365" max="15365" width="12.125" style="167" customWidth="1"/>
    <col min="15366" max="15366" width="12.75390625" style="167" customWidth="1"/>
    <col min="15367" max="15367" width="9.25390625" style="167" customWidth="1"/>
    <col min="15368" max="15368" width="9.25390625" style="167" bestFit="1" customWidth="1"/>
    <col min="15369" max="15369" width="13.125" style="167" customWidth="1"/>
    <col min="15370" max="15370" width="13.625" style="167" customWidth="1"/>
    <col min="15371" max="15371" width="9.625" style="167" customWidth="1"/>
    <col min="15372" max="15372" width="14.875" style="167" customWidth="1"/>
    <col min="15373" max="15612" width="9.125" style="167" customWidth="1"/>
    <col min="15613" max="15613" width="5.625" style="167" customWidth="1"/>
    <col min="15614" max="15614" width="33.625" style="167" customWidth="1"/>
    <col min="15615" max="15615" width="15.625" style="167" customWidth="1"/>
    <col min="15616" max="15616" width="9.625" style="167" customWidth="1"/>
    <col min="15617" max="15617" width="11.75390625" style="167" customWidth="1"/>
    <col min="15618" max="15618" width="13.125" style="167" customWidth="1"/>
    <col min="15619" max="15619" width="10.875" style="167" customWidth="1"/>
    <col min="15620" max="15620" width="9.25390625" style="167" bestFit="1" customWidth="1"/>
    <col min="15621" max="15621" width="12.125" style="167" customWidth="1"/>
    <col min="15622" max="15622" width="12.75390625" style="167" customWidth="1"/>
    <col min="15623" max="15623" width="9.25390625" style="167" customWidth="1"/>
    <col min="15624" max="15624" width="9.25390625" style="167" bestFit="1" customWidth="1"/>
    <col min="15625" max="15625" width="13.125" style="167" customWidth="1"/>
    <col min="15626" max="15626" width="13.625" style="167" customWidth="1"/>
    <col min="15627" max="15627" width="9.625" style="167" customWidth="1"/>
    <col min="15628" max="15628" width="14.875" style="167" customWidth="1"/>
    <col min="15629" max="15868" width="9.125" style="167" customWidth="1"/>
    <col min="15869" max="15869" width="5.625" style="167" customWidth="1"/>
    <col min="15870" max="15870" width="33.625" style="167" customWidth="1"/>
    <col min="15871" max="15871" width="15.625" style="167" customWidth="1"/>
    <col min="15872" max="15872" width="9.625" style="167" customWidth="1"/>
    <col min="15873" max="15873" width="11.75390625" style="167" customWidth="1"/>
    <col min="15874" max="15874" width="13.125" style="167" customWidth="1"/>
    <col min="15875" max="15875" width="10.875" style="167" customWidth="1"/>
    <col min="15876" max="15876" width="9.25390625" style="167" bestFit="1" customWidth="1"/>
    <col min="15877" max="15877" width="12.125" style="167" customWidth="1"/>
    <col min="15878" max="15878" width="12.75390625" style="167" customWidth="1"/>
    <col min="15879" max="15879" width="9.25390625" style="167" customWidth="1"/>
    <col min="15880" max="15880" width="9.25390625" style="167" bestFit="1" customWidth="1"/>
    <col min="15881" max="15881" width="13.125" style="167" customWidth="1"/>
    <col min="15882" max="15882" width="13.625" style="167" customWidth="1"/>
    <col min="15883" max="15883" width="9.625" style="167" customWidth="1"/>
    <col min="15884" max="15884" width="14.875" style="167" customWidth="1"/>
    <col min="15885" max="16124" width="9.125" style="167" customWidth="1"/>
    <col min="16125" max="16125" width="5.625" style="167" customWidth="1"/>
    <col min="16126" max="16126" width="33.625" style="167" customWidth="1"/>
    <col min="16127" max="16127" width="15.625" style="167" customWidth="1"/>
    <col min="16128" max="16128" width="9.625" style="167" customWidth="1"/>
    <col min="16129" max="16129" width="11.75390625" style="167" customWidth="1"/>
    <col min="16130" max="16130" width="13.125" style="167" customWidth="1"/>
    <col min="16131" max="16131" width="10.875" style="167" customWidth="1"/>
    <col min="16132" max="16132" width="9.25390625" style="167" bestFit="1" customWidth="1"/>
    <col min="16133" max="16133" width="12.125" style="167" customWidth="1"/>
    <col min="16134" max="16134" width="12.75390625" style="167" customWidth="1"/>
    <col min="16135" max="16135" width="9.25390625" style="167" customWidth="1"/>
    <col min="16136" max="16136" width="9.25390625" style="167" bestFit="1" customWidth="1"/>
    <col min="16137" max="16137" width="13.125" style="167" customWidth="1"/>
    <col min="16138" max="16138" width="13.625" style="167" customWidth="1"/>
    <col min="16139" max="16139" width="9.625" style="167" customWidth="1"/>
    <col min="16140" max="16140" width="14.875" style="167" customWidth="1"/>
    <col min="16141" max="16384" width="9.125" style="167" customWidth="1"/>
  </cols>
  <sheetData>
    <row r="1" spans="9:12" ht="48" customHeight="1">
      <c r="I1" s="331" t="s">
        <v>1098</v>
      </c>
      <c r="J1" s="331"/>
      <c r="K1" s="331"/>
      <c r="L1" s="331"/>
    </row>
    <row r="2" ht="34.15" customHeight="1">
      <c r="L2" s="157"/>
    </row>
    <row r="3" spans="1:12" ht="12.75">
      <c r="A3" s="340" t="s">
        <v>408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ht="12.75">
      <c r="A4" s="340" t="s">
        <v>401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</row>
    <row r="5" spans="1:12" ht="15.6" customHeight="1">
      <c r="A5" s="341" t="s">
        <v>409</v>
      </c>
      <c r="B5" s="341" t="s">
        <v>410</v>
      </c>
      <c r="C5" s="342" t="s">
        <v>411</v>
      </c>
      <c r="D5" s="337" t="s">
        <v>412</v>
      </c>
      <c r="E5" s="338"/>
      <c r="F5" s="338"/>
      <c r="G5" s="339"/>
      <c r="H5" s="337" t="s">
        <v>403</v>
      </c>
      <c r="I5" s="338"/>
      <c r="J5" s="338"/>
      <c r="K5" s="339"/>
      <c r="L5" s="342" t="s">
        <v>413</v>
      </c>
    </row>
    <row r="6" spans="1:12" ht="78.75">
      <c r="A6" s="341"/>
      <c r="B6" s="341"/>
      <c r="C6" s="342"/>
      <c r="D6" s="170" t="s">
        <v>414</v>
      </c>
      <c r="E6" s="170" t="s">
        <v>415</v>
      </c>
      <c r="F6" s="170" t="s">
        <v>416</v>
      </c>
      <c r="G6" s="171" t="s">
        <v>417</v>
      </c>
      <c r="H6" s="170" t="s">
        <v>414</v>
      </c>
      <c r="I6" s="170" t="s">
        <v>415</v>
      </c>
      <c r="J6" s="170" t="s">
        <v>416</v>
      </c>
      <c r="K6" s="171" t="s">
        <v>417</v>
      </c>
      <c r="L6" s="342"/>
    </row>
    <row r="7" spans="1:12" s="176" customFormat="1" ht="21.6" customHeight="1">
      <c r="A7" s="172">
        <v>1</v>
      </c>
      <c r="B7" s="172" t="s">
        <v>27</v>
      </c>
      <c r="C7" s="173" t="s">
        <v>418</v>
      </c>
      <c r="D7" s="174">
        <f>D8</f>
        <v>5011.700000000001</v>
      </c>
      <c r="E7" s="174">
        <f aca="true" t="shared" si="0" ref="E7:F7">E8</f>
        <v>36942.2</v>
      </c>
      <c r="F7" s="174">
        <f t="shared" si="0"/>
        <v>0</v>
      </c>
      <c r="G7" s="174">
        <f aca="true" t="shared" si="1" ref="G7:K7">G8</f>
        <v>41953.9</v>
      </c>
      <c r="H7" s="174">
        <f t="shared" si="1"/>
        <v>2339.1</v>
      </c>
      <c r="I7" s="174">
        <f t="shared" si="1"/>
        <v>5455.8</v>
      </c>
      <c r="J7" s="174">
        <f t="shared" si="1"/>
        <v>0</v>
      </c>
      <c r="K7" s="174">
        <f t="shared" si="1"/>
        <v>7794.900000000001</v>
      </c>
      <c r="L7" s="175" t="s">
        <v>57</v>
      </c>
    </row>
    <row r="8" spans="1:12" ht="25.15" customHeight="1">
      <c r="A8" s="177" t="s">
        <v>419</v>
      </c>
      <c r="B8" s="177" t="s">
        <v>273</v>
      </c>
      <c r="C8" s="178" t="s">
        <v>418</v>
      </c>
      <c r="D8" s="179">
        <f>D9+D12+D10+D11</f>
        <v>5011.700000000001</v>
      </c>
      <c r="E8" s="179">
        <f aca="true" t="shared" si="2" ref="E8:F8">E9+E12+E10+E11</f>
        <v>36942.2</v>
      </c>
      <c r="F8" s="179">
        <f t="shared" si="2"/>
        <v>0</v>
      </c>
      <c r="G8" s="179">
        <f>G9+G12+G10+G11</f>
        <v>41953.9</v>
      </c>
      <c r="H8" s="179">
        <f>H9+H12+H10+H11</f>
        <v>2339.1</v>
      </c>
      <c r="I8" s="179">
        <f aca="true" t="shared" si="3" ref="I8:J8">I9+I12+I10+I11</f>
        <v>5455.8</v>
      </c>
      <c r="J8" s="179">
        <f t="shared" si="3"/>
        <v>0</v>
      </c>
      <c r="K8" s="179">
        <f>K9+K12+K10+K11</f>
        <v>7794.900000000001</v>
      </c>
      <c r="L8" s="180" t="s">
        <v>272</v>
      </c>
    </row>
    <row r="9" spans="1:12" ht="63.6" customHeight="1">
      <c r="A9" s="181" t="s">
        <v>420</v>
      </c>
      <c r="B9" s="177" t="s">
        <v>421</v>
      </c>
      <c r="C9" s="182" t="s">
        <v>331</v>
      </c>
      <c r="D9" s="170">
        <v>1924</v>
      </c>
      <c r="E9" s="187">
        <f>' № 7  рп, кцср, квр'!E234</f>
        <v>5456.2</v>
      </c>
      <c r="F9" s="187">
        <v>0</v>
      </c>
      <c r="G9" s="179">
        <f>D9+E9+F9</f>
        <v>7380.2</v>
      </c>
      <c r="H9" s="170">
        <v>1923.5</v>
      </c>
      <c r="I9" s="170">
        <v>5455.8</v>
      </c>
      <c r="J9" s="179">
        <v>0</v>
      </c>
      <c r="K9" s="170">
        <f>SUM(H9:J9)</f>
        <v>7379.3</v>
      </c>
      <c r="L9" s="180" t="s">
        <v>272</v>
      </c>
    </row>
    <row r="10" spans="1:12" ht="55.9" customHeight="1">
      <c r="A10" s="181" t="s">
        <v>422</v>
      </c>
      <c r="B10" s="177" t="s">
        <v>423</v>
      </c>
      <c r="C10" s="182" t="s">
        <v>331</v>
      </c>
      <c r="D10" s="179">
        <v>463.4</v>
      </c>
      <c r="E10" s="179">
        <v>0</v>
      </c>
      <c r="F10" s="179">
        <v>0</v>
      </c>
      <c r="G10" s="179">
        <f aca="true" t="shared" si="4" ref="G10:G11">D10+E10+F10</f>
        <v>463.4</v>
      </c>
      <c r="H10" s="170">
        <v>141.5</v>
      </c>
      <c r="I10" s="179">
        <v>0</v>
      </c>
      <c r="J10" s="179">
        <v>0</v>
      </c>
      <c r="K10" s="170">
        <f>SUM(H10:J10)</f>
        <v>141.5</v>
      </c>
      <c r="L10" s="180" t="s">
        <v>272</v>
      </c>
    </row>
    <row r="11" spans="1:12" ht="52.9" customHeight="1">
      <c r="A11" s="181" t="s">
        <v>424</v>
      </c>
      <c r="B11" s="177" t="s">
        <v>425</v>
      </c>
      <c r="C11" s="182" t="s">
        <v>331</v>
      </c>
      <c r="D11" s="179">
        <v>2306.3</v>
      </c>
      <c r="E11" s="179">
        <v>0</v>
      </c>
      <c r="F11" s="179">
        <v>0</v>
      </c>
      <c r="G11" s="179">
        <f t="shared" si="4"/>
        <v>2306.3</v>
      </c>
      <c r="H11" s="170">
        <v>274.1</v>
      </c>
      <c r="I11" s="179">
        <v>0</v>
      </c>
      <c r="J11" s="179">
        <v>0</v>
      </c>
      <c r="K11" s="170">
        <f>SUM(H11:J11)</f>
        <v>274.1</v>
      </c>
      <c r="L11" s="180" t="s">
        <v>272</v>
      </c>
    </row>
    <row r="12" spans="1:12" ht="52.9" customHeight="1">
      <c r="A12" s="181" t="s">
        <v>426</v>
      </c>
      <c r="B12" s="177" t="s">
        <v>427</v>
      </c>
      <c r="C12" s="182" t="s">
        <v>331</v>
      </c>
      <c r="D12" s="179">
        <f>'[1]№ 7 ведом'!F202</f>
        <v>318</v>
      </c>
      <c r="E12" s="179">
        <f>'[1]№ 7 ведом'!F199</f>
        <v>31486</v>
      </c>
      <c r="F12" s="187">
        <v>0</v>
      </c>
      <c r="G12" s="187">
        <f>D12+E12+F12</f>
        <v>31804</v>
      </c>
      <c r="H12" s="187">
        <v>0</v>
      </c>
      <c r="I12" s="187">
        <v>0</v>
      </c>
      <c r="J12" s="187">
        <v>0</v>
      </c>
      <c r="K12" s="187">
        <v>0</v>
      </c>
      <c r="L12" s="180" t="s">
        <v>272</v>
      </c>
    </row>
    <row r="13" spans="1:12" s="176" customFormat="1" ht="12.75">
      <c r="A13" s="172" t="s">
        <v>428</v>
      </c>
      <c r="B13" s="172" t="s">
        <v>31</v>
      </c>
      <c r="C13" s="173" t="s">
        <v>418</v>
      </c>
      <c r="D13" s="174">
        <f>D14</f>
        <v>0</v>
      </c>
      <c r="E13" s="174">
        <f aca="true" t="shared" si="5" ref="E13:J14">E14</f>
        <v>1957.6</v>
      </c>
      <c r="F13" s="174">
        <f t="shared" si="5"/>
        <v>2936.3</v>
      </c>
      <c r="G13" s="174">
        <f aca="true" t="shared" si="6" ref="G13:G15">D13+E13+F13</f>
        <v>4893.9</v>
      </c>
      <c r="H13" s="174">
        <f t="shared" si="5"/>
        <v>0</v>
      </c>
      <c r="I13" s="174">
        <f t="shared" si="5"/>
        <v>0</v>
      </c>
      <c r="J13" s="174">
        <f t="shared" si="5"/>
        <v>978.8</v>
      </c>
      <c r="K13" s="174">
        <f aca="true" t="shared" si="7" ref="K13:K15">H13+I13+J13</f>
        <v>978.8</v>
      </c>
      <c r="L13" s="175" t="s">
        <v>39</v>
      </c>
    </row>
    <row r="14" spans="1:12" ht="12.75">
      <c r="A14" s="183" t="s">
        <v>429</v>
      </c>
      <c r="B14" s="183" t="s">
        <v>85</v>
      </c>
      <c r="C14" s="184" t="s">
        <v>418</v>
      </c>
      <c r="D14" s="185">
        <f>D15</f>
        <v>0</v>
      </c>
      <c r="E14" s="185">
        <f t="shared" si="5"/>
        <v>1957.6</v>
      </c>
      <c r="F14" s="185">
        <f t="shared" si="5"/>
        <v>2936.3</v>
      </c>
      <c r="G14" s="186">
        <f t="shared" si="6"/>
        <v>4893.9</v>
      </c>
      <c r="H14" s="185">
        <f>H15</f>
        <v>0</v>
      </c>
      <c r="I14" s="185">
        <f t="shared" si="5"/>
        <v>0</v>
      </c>
      <c r="J14" s="185">
        <f t="shared" si="5"/>
        <v>978.8</v>
      </c>
      <c r="K14" s="186">
        <f t="shared" si="7"/>
        <v>978.8</v>
      </c>
      <c r="L14" s="180" t="s">
        <v>84</v>
      </c>
    </row>
    <row r="15" spans="1:12" ht="79.15" customHeight="1">
      <c r="A15" s="183" t="s">
        <v>430</v>
      </c>
      <c r="B15" s="183" t="s">
        <v>431</v>
      </c>
      <c r="C15" s="183" t="s">
        <v>339</v>
      </c>
      <c r="D15" s="187">
        <v>0</v>
      </c>
      <c r="E15" s="187">
        <f>'[1]№ 7 ведом'!F501</f>
        <v>1957.6</v>
      </c>
      <c r="F15" s="187">
        <f>'[1]№ 7 ведом'!F504</f>
        <v>2936.3</v>
      </c>
      <c r="G15" s="186">
        <f t="shared" si="6"/>
        <v>4893.9</v>
      </c>
      <c r="H15" s="187">
        <v>0</v>
      </c>
      <c r="I15" s="187">
        <v>0</v>
      </c>
      <c r="J15" s="187">
        <v>978.8</v>
      </c>
      <c r="K15" s="186">
        <f t="shared" si="7"/>
        <v>978.8</v>
      </c>
      <c r="L15" s="180" t="s">
        <v>84</v>
      </c>
    </row>
    <row r="16" spans="1:12" s="176" customFormat="1" ht="15.75" customHeight="1">
      <c r="A16" s="188"/>
      <c r="B16" s="188" t="s">
        <v>0</v>
      </c>
      <c r="C16" s="189"/>
      <c r="D16" s="174">
        <f aca="true" t="shared" si="8" ref="D16:K16">D7+D13</f>
        <v>5011.700000000001</v>
      </c>
      <c r="E16" s="174">
        <f t="shared" si="8"/>
        <v>38899.799999999996</v>
      </c>
      <c r="F16" s="174">
        <f t="shared" si="8"/>
        <v>2936.3</v>
      </c>
      <c r="G16" s="174">
        <f t="shared" si="8"/>
        <v>46847.8</v>
      </c>
      <c r="H16" s="174">
        <f t="shared" si="8"/>
        <v>2339.1</v>
      </c>
      <c r="I16" s="174">
        <f t="shared" si="8"/>
        <v>5455.8</v>
      </c>
      <c r="J16" s="174">
        <f t="shared" si="8"/>
        <v>978.8</v>
      </c>
      <c r="K16" s="174">
        <f t="shared" si="8"/>
        <v>8773.7</v>
      </c>
      <c r="L16" s="190" t="s">
        <v>418</v>
      </c>
    </row>
    <row r="17" spans="1:12" ht="14.25" customHeight="1">
      <c r="A17" s="191"/>
      <c r="B17" s="191"/>
      <c r="C17" s="192"/>
      <c r="D17" s="193"/>
      <c r="E17" s="193"/>
      <c r="F17" s="193"/>
      <c r="G17" s="194"/>
      <c r="H17" s="193"/>
      <c r="I17" s="193"/>
      <c r="J17" s="193"/>
      <c r="K17" s="194"/>
      <c r="L17" s="195"/>
    </row>
    <row r="18" spans="1:12" ht="2.25" customHeight="1" hidden="1">
      <c r="A18" s="191"/>
      <c r="B18" s="191"/>
      <c r="C18" s="192"/>
      <c r="D18" s="193"/>
      <c r="E18" s="193"/>
      <c r="F18" s="193"/>
      <c r="G18" s="194"/>
      <c r="H18" s="193"/>
      <c r="I18" s="193"/>
      <c r="J18" s="193"/>
      <c r="K18" s="194"/>
      <c r="L18" s="195"/>
    </row>
    <row r="19" spans="1:12" ht="12.75" hidden="1">
      <c r="A19" s="191"/>
      <c r="B19" s="191"/>
      <c r="C19" s="192"/>
      <c r="D19" s="193"/>
      <c r="E19" s="193"/>
      <c r="F19" s="193"/>
      <c r="G19" s="194"/>
      <c r="H19" s="193"/>
      <c r="I19" s="193"/>
      <c r="J19" s="193"/>
      <c r="K19" s="194"/>
      <c r="L19" s="195"/>
    </row>
    <row r="20" spans="1:12" ht="12.75" hidden="1">
      <c r="A20" s="191"/>
      <c r="B20" s="191"/>
      <c r="C20" s="192"/>
      <c r="D20" s="193" t="e">
        <f>#REF!+#REF!+#REF!</f>
        <v>#REF!</v>
      </c>
      <c r="E20" s="193" t="e">
        <f>#REF!+#REF!+#REF!</f>
        <v>#REF!</v>
      </c>
      <c r="F20" s="193" t="e">
        <f>#REF!+#REF!+#REF!</f>
        <v>#REF!</v>
      </c>
      <c r="G20" s="193" t="e">
        <f>#REF!+#REF!+#REF!</f>
        <v>#REF!</v>
      </c>
      <c r="H20" s="193" t="e">
        <f>#REF!+#REF!+#REF!</f>
        <v>#REF!</v>
      </c>
      <c r="I20" s="193" t="e">
        <f>#REF!+#REF!+#REF!</f>
        <v>#REF!</v>
      </c>
      <c r="J20" s="193" t="e">
        <f>#REF!+#REF!+#REF!</f>
        <v>#REF!</v>
      </c>
      <c r="K20" s="193" t="e">
        <f>#REF!+#REF!+#REF!</f>
        <v>#REF!</v>
      </c>
      <c r="L20" s="195"/>
    </row>
  </sheetData>
  <mergeCells count="9">
    <mergeCell ref="I1:L1"/>
    <mergeCell ref="D5:G5"/>
    <mergeCell ref="H5:K5"/>
    <mergeCell ref="A3:L3"/>
    <mergeCell ref="A4:L4"/>
    <mergeCell ref="A5:A6"/>
    <mergeCell ref="B5:B6"/>
    <mergeCell ref="C5:C6"/>
    <mergeCell ref="L5:L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72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90" zoomScaleNormal="90" workbookViewId="0" topLeftCell="A1">
      <selection activeCell="A3" sqref="A3:D3"/>
    </sheetView>
  </sheetViews>
  <sheetFormatPr defaultColWidth="14.75390625" defaultRowHeight="12.75"/>
  <cols>
    <col min="1" max="1" width="8.25390625" style="197" customWidth="1"/>
    <col min="2" max="2" width="53.125" style="197" customWidth="1"/>
    <col min="3" max="3" width="12.75390625" style="197" customWidth="1"/>
    <col min="4" max="4" width="14.375" style="197" customWidth="1"/>
    <col min="5" max="5" width="32.25390625" style="197" customWidth="1"/>
    <col min="6" max="255" width="14.75390625" style="197" customWidth="1"/>
    <col min="256" max="256" width="8.25390625" style="197" customWidth="1"/>
    <col min="257" max="257" width="53.125" style="197" customWidth="1"/>
    <col min="258" max="258" width="18.00390625" style="197" customWidth="1"/>
    <col min="259" max="260" width="17.625" style="197" customWidth="1"/>
    <col min="261" max="261" width="32.25390625" style="197" customWidth="1"/>
    <col min="262" max="511" width="14.75390625" style="197" customWidth="1"/>
    <col min="512" max="512" width="8.25390625" style="197" customWidth="1"/>
    <col min="513" max="513" width="53.125" style="197" customWidth="1"/>
    <col min="514" max="514" width="18.00390625" style="197" customWidth="1"/>
    <col min="515" max="516" width="17.625" style="197" customWidth="1"/>
    <col min="517" max="517" width="32.25390625" style="197" customWidth="1"/>
    <col min="518" max="767" width="14.75390625" style="197" customWidth="1"/>
    <col min="768" max="768" width="8.25390625" style="197" customWidth="1"/>
    <col min="769" max="769" width="53.125" style="197" customWidth="1"/>
    <col min="770" max="770" width="18.00390625" style="197" customWidth="1"/>
    <col min="771" max="772" width="17.625" style="197" customWidth="1"/>
    <col min="773" max="773" width="32.25390625" style="197" customWidth="1"/>
    <col min="774" max="1023" width="14.75390625" style="197" customWidth="1"/>
    <col min="1024" max="1024" width="8.25390625" style="197" customWidth="1"/>
    <col min="1025" max="1025" width="53.125" style="197" customWidth="1"/>
    <col min="1026" max="1026" width="18.00390625" style="197" customWidth="1"/>
    <col min="1027" max="1028" width="17.625" style="197" customWidth="1"/>
    <col min="1029" max="1029" width="32.25390625" style="197" customWidth="1"/>
    <col min="1030" max="1279" width="14.75390625" style="197" customWidth="1"/>
    <col min="1280" max="1280" width="8.25390625" style="197" customWidth="1"/>
    <col min="1281" max="1281" width="53.125" style="197" customWidth="1"/>
    <col min="1282" max="1282" width="18.00390625" style="197" customWidth="1"/>
    <col min="1283" max="1284" width="17.625" style="197" customWidth="1"/>
    <col min="1285" max="1285" width="32.25390625" style="197" customWidth="1"/>
    <col min="1286" max="1535" width="14.75390625" style="197" customWidth="1"/>
    <col min="1536" max="1536" width="8.25390625" style="197" customWidth="1"/>
    <col min="1537" max="1537" width="53.125" style="197" customWidth="1"/>
    <col min="1538" max="1538" width="18.00390625" style="197" customWidth="1"/>
    <col min="1539" max="1540" width="17.625" style="197" customWidth="1"/>
    <col min="1541" max="1541" width="32.25390625" style="197" customWidth="1"/>
    <col min="1542" max="1791" width="14.75390625" style="197" customWidth="1"/>
    <col min="1792" max="1792" width="8.25390625" style="197" customWidth="1"/>
    <col min="1793" max="1793" width="53.125" style="197" customWidth="1"/>
    <col min="1794" max="1794" width="18.00390625" style="197" customWidth="1"/>
    <col min="1795" max="1796" width="17.625" style="197" customWidth="1"/>
    <col min="1797" max="1797" width="32.25390625" style="197" customWidth="1"/>
    <col min="1798" max="2047" width="14.75390625" style="197" customWidth="1"/>
    <col min="2048" max="2048" width="8.25390625" style="197" customWidth="1"/>
    <col min="2049" max="2049" width="53.125" style="197" customWidth="1"/>
    <col min="2050" max="2050" width="18.00390625" style="197" customWidth="1"/>
    <col min="2051" max="2052" width="17.625" style="197" customWidth="1"/>
    <col min="2053" max="2053" width="32.25390625" style="197" customWidth="1"/>
    <col min="2054" max="2303" width="14.75390625" style="197" customWidth="1"/>
    <col min="2304" max="2304" width="8.25390625" style="197" customWidth="1"/>
    <col min="2305" max="2305" width="53.125" style="197" customWidth="1"/>
    <col min="2306" max="2306" width="18.00390625" style="197" customWidth="1"/>
    <col min="2307" max="2308" width="17.625" style="197" customWidth="1"/>
    <col min="2309" max="2309" width="32.25390625" style="197" customWidth="1"/>
    <col min="2310" max="2559" width="14.75390625" style="197" customWidth="1"/>
    <col min="2560" max="2560" width="8.25390625" style="197" customWidth="1"/>
    <col min="2561" max="2561" width="53.125" style="197" customWidth="1"/>
    <col min="2562" max="2562" width="18.00390625" style="197" customWidth="1"/>
    <col min="2563" max="2564" width="17.625" style="197" customWidth="1"/>
    <col min="2565" max="2565" width="32.25390625" style="197" customWidth="1"/>
    <col min="2566" max="2815" width="14.75390625" style="197" customWidth="1"/>
    <col min="2816" max="2816" width="8.25390625" style="197" customWidth="1"/>
    <col min="2817" max="2817" width="53.125" style="197" customWidth="1"/>
    <col min="2818" max="2818" width="18.00390625" style="197" customWidth="1"/>
    <col min="2819" max="2820" width="17.625" style="197" customWidth="1"/>
    <col min="2821" max="2821" width="32.25390625" style="197" customWidth="1"/>
    <col min="2822" max="3071" width="14.75390625" style="197" customWidth="1"/>
    <col min="3072" max="3072" width="8.25390625" style="197" customWidth="1"/>
    <col min="3073" max="3073" width="53.125" style="197" customWidth="1"/>
    <col min="3074" max="3074" width="18.00390625" style="197" customWidth="1"/>
    <col min="3075" max="3076" width="17.625" style="197" customWidth="1"/>
    <col min="3077" max="3077" width="32.25390625" style="197" customWidth="1"/>
    <col min="3078" max="3327" width="14.75390625" style="197" customWidth="1"/>
    <col min="3328" max="3328" width="8.25390625" style="197" customWidth="1"/>
    <col min="3329" max="3329" width="53.125" style="197" customWidth="1"/>
    <col min="3330" max="3330" width="18.00390625" style="197" customWidth="1"/>
    <col min="3331" max="3332" width="17.625" style="197" customWidth="1"/>
    <col min="3333" max="3333" width="32.25390625" style="197" customWidth="1"/>
    <col min="3334" max="3583" width="14.75390625" style="197" customWidth="1"/>
    <col min="3584" max="3584" width="8.25390625" style="197" customWidth="1"/>
    <col min="3585" max="3585" width="53.125" style="197" customWidth="1"/>
    <col min="3586" max="3586" width="18.00390625" style="197" customWidth="1"/>
    <col min="3587" max="3588" width="17.625" style="197" customWidth="1"/>
    <col min="3589" max="3589" width="32.25390625" style="197" customWidth="1"/>
    <col min="3590" max="3839" width="14.75390625" style="197" customWidth="1"/>
    <col min="3840" max="3840" width="8.25390625" style="197" customWidth="1"/>
    <col min="3841" max="3841" width="53.125" style="197" customWidth="1"/>
    <col min="3842" max="3842" width="18.00390625" style="197" customWidth="1"/>
    <col min="3843" max="3844" width="17.625" style="197" customWidth="1"/>
    <col min="3845" max="3845" width="32.25390625" style="197" customWidth="1"/>
    <col min="3846" max="4095" width="14.75390625" style="197" customWidth="1"/>
    <col min="4096" max="4096" width="8.25390625" style="197" customWidth="1"/>
    <col min="4097" max="4097" width="53.125" style="197" customWidth="1"/>
    <col min="4098" max="4098" width="18.00390625" style="197" customWidth="1"/>
    <col min="4099" max="4100" width="17.625" style="197" customWidth="1"/>
    <col min="4101" max="4101" width="32.25390625" style="197" customWidth="1"/>
    <col min="4102" max="4351" width="14.75390625" style="197" customWidth="1"/>
    <col min="4352" max="4352" width="8.25390625" style="197" customWidth="1"/>
    <col min="4353" max="4353" width="53.125" style="197" customWidth="1"/>
    <col min="4354" max="4354" width="18.00390625" style="197" customWidth="1"/>
    <col min="4355" max="4356" width="17.625" style="197" customWidth="1"/>
    <col min="4357" max="4357" width="32.25390625" style="197" customWidth="1"/>
    <col min="4358" max="4607" width="14.75390625" style="197" customWidth="1"/>
    <col min="4608" max="4608" width="8.25390625" style="197" customWidth="1"/>
    <col min="4609" max="4609" width="53.125" style="197" customWidth="1"/>
    <col min="4610" max="4610" width="18.00390625" style="197" customWidth="1"/>
    <col min="4611" max="4612" width="17.625" style="197" customWidth="1"/>
    <col min="4613" max="4613" width="32.25390625" style="197" customWidth="1"/>
    <col min="4614" max="4863" width="14.75390625" style="197" customWidth="1"/>
    <col min="4864" max="4864" width="8.25390625" style="197" customWidth="1"/>
    <col min="4865" max="4865" width="53.125" style="197" customWidth="1"/>
    <col min="4866" max="4866" width="18.00390625" style="197" customWidth="1"/>
    <col min="4867" max="4868" width="17.625" style="197" customWidth="1"/>
    <col min="4869" max="4869" width="32.25390625" style="197" customWidth="1"/>
    <col min="4870" max="5119" width="14.75390625" style="197" customWidth="1"/>
    <col min="5120" max="5120" width="8.25390625" style="197" customWidth="1"/>
    <col min="5121" max="5121" width="53.125" style="197" customWidth="1"/>
    <col min="5122" max="5122" width="18.00390625" style="197" customWidth="1"/>
    <col min="5123" max="5124" width="17.625" style="197" customWidth="1"/>
    <col min="5125" max="5125" width="32.25390625" style="197" customWidth="1"/>
    <col min="5126" max="5375" width="14.75390625" style="197" customWidth="1"/>
    <col min="5376" max="5376" width="8.25390625" style="197" customWidth="1"/>
    <col min="5377" max="5377" width="53.125" style="197" customWidth="1"/>
    <col min="5378" max="5378" width="18.00390625" style="197" customWidth="1"/>
    <col min="5379" max="5380" width="17.625" style="197" customWidth="1"/>
    <col min="5381" max="5381" width="32.25390625" style="197" customWidth="1"/>
    <col min="5382" max="5631" width="14.75390625" style="197" customWidth="1"/>
    <col min="5632" max="5632" width="8.25390625" style="197" customWidth="1"/>
    <col min="5633" max="5633" width="53.125" style="197" customWidth="1"/>
    <col min="5634" max="5634" width="18.00390625" style="197" customWidth="1"/>
    <col min="5635" max="5636" width="17.625" style="197" customWidth="1"/>
    <col min="5637" max="5637" width="32.25390625" style="197" customWidth="1"/>
    <col min="5638" max="5887" width="14.75390625" style="197" customWidth="1"/>
    <col min="5888" max="5888" width="8.25390625" style="197" customWidth="1"/>
    <col min="5889" max="5889" width="53.125" style="197" customWidth="1"/>
    <col min="5890" max="5890" width="18.00390625" style="197" customWidth="1"/>
    <col min="5891" max="5892" width="17.625" style="197" customWidth="1"/>
    <col min="5893" max="5893" width="32.25390625" style="197" customWidth="1"/>
    <col min="5894" max="6143" width="14.75390625" style="197" customWidth="1"/>
    <col min="6144" max="6144" width="8.25390625" style="197" customWidth="1"/>
    <col min="6145" max="6145" width="53.125" style="197" customWidth="1"/>
    <col min="6146" max="6146" width="18.00390625" style="197" customWidth="1"/>
    <col min="6147" max="6148" width="17.625" style="197" customWidth="1"/>
    <col min="6149" max="6149" width="32.25390625" style="197" customWidth="1"/>
    <col min="6150" max="6399" width="14.75390625" style="197" customWidth="1"/>
    <col min="6400" max="6400" width="8.25390625" style="197" customWidth="1"/>
    <col min="6401" max="6401" width="53.125" style="197" customWidth="1"/>
    <col min="6402" max="6402" width="18.00390625" style="197" customWidth="1"/>
    <col min="6403" max="6404" width="17.625" style="197" customWidth="1"/>
    <col min="6405" max="6405" width="32.25390625" style="197" customWidth="1"/>
    <col min="6406" max="6655" width="14.75390625" style="197" customWidth="1"/>
    <col min="6656" max="6656" width="8.25390625" style="197" customWidth="1"/>
    <col min="6657" max="6657" width="53.125" style="197" customWidth="1"/>
    <col min="6658" max="6658" width="18.00390625" style="197" customWidth="1"/>
    <col min="6659" max="6660" width="17.625" style="197" customWidth="1"/>
    <col min="6661" max="6661" width="32.25390625" style="197" customWidth="1"/>
    <col min="6662" max="6911" width="14.75390625" style="197" customWidth="1"/>
    <col min="6912" max="6912" width="8.25390625" style="197" customWidth="1"/>
    <col min="6913" max="6913" width="53.125" style="197" customWidth="1"/>
    <col min="6914" max="6914" width="18.00390625" style="197" customWidth="1"/>
    <col min="6915" max="6916" width="17.625" style="197" customWidth="1"/>
    <col min="6917" max="6917" width="32.25390625" style="197" customWidth="1"/>
    <col min="6918" max="7167" width="14.75390625" style="197" customWidth="1"/>
    <col min="7168" max="7168" width="8.25390625" style="197" customWidth="1"/>
    <col min="7169" max="7169" width="53.125" style="197" customWidth="1"/>
    <col min="7170" max="7170" width="18.00390625" style="197" customWidth="1"/>
    <col min="7171" max="7172" width="17.625" style="197" customWidth="1"/>
    <col min="7173" max="7173" width="32.25390625" style="197" customWidth="1"/>
    <col min="7174" max="7423" width="14.75390625" style="197" customWidth="1"/>
    <col min="7424" max="7424" width="8.25390625" style="197" customWidth="1"/>
    <col min="7425" max="7425" width="53.125" style="197" customWidth="1"/>
    <col min="7426" max="7426" width="18.00390625" style="197" customWidth="1"/>
    <col min="7427" max="7428" width="17.625" style="197" customWidth="1"/>
    <col min="7429" max="7429" width="32.25390625" style="197" customWidth="1"/>
    <col min="7430" max="7679" width="14.75390625" style="197" customWidth="1"/>
    <col min="7680" max="7680" width="8.25390625" style="197" customWidth="1"/>
    <col min="7681" max="7681" width="53.125" style="197" customWidth="1"/>
    <col min="7682" max="7682" width="18.00390625" style="197" customWidth="1"/>
    <col min="7683" max="7684" width="17.625" style="197" customWidth="1"/>
    <col min="7685" max="7685" width="32.25390625" style="197" customWidth="1"/>
    <col min="7686" max="7935" width="14.75390625" style="197" customWidth="1"/>
    <col min="7936" max="7936" width="8.25390625" style="197" customWidth="1"/>
    <col min="7937" max="7937" width="53.125" style="197" customWidth="1"/>
    <col min="7938" max="7938" width="18.00390625" style="197" customWidth="1"/>
    <col min="7939" max="7940" width="17.625" style="197" customWidth="1"/>
    <col min="7941" max="7941" width="32.25390625" style="197" customWidth="1"/>
    <col min="7942" max="8191" width="14.75390625" style="197" customWidth="1"/>
    <col min="8192" max="8192" width="8.25390625" style="197" customWidth="1"/>
    <col min="8193" max="8193" width="53.125" style="197" customWidth="1"/>
    <col min="8194" max="8194" width="18.00390625" style="197" customWidth="1"/>
    <col min="8195" max="8196" width="17.625" style="197" customWidth="1"/>
    <col min="8197" max="8197" width="32.25390625" style="197" customWidth="1"/>
    <col min="8198" max="8447" width="14.75390625" style="197" customWidth="1"/>
    <col min="8448" max="8448" width="8.25390625" style="197" customWidth="1"/>
    <col min="8449" max="8449" width="53.125" style="197" customWidth="1"/>
    <col min="8450" max="8450" width="18.00390625" style="197" customWidth="1"/>
    <col min="8451" max="8452" width="17.625" style="197" customWidth="1"/>
    <col min="8453" max="8453" width="32.25390625" style="197" customWidth="1"/>
    <col min="8454" max="8703" width="14.75390625" style="197" customWidth="1"/>
    <col min="8704" max="8704" width="8.25390625" style="197" customWidth="1"/>
    <col min="8705" max="8705" width="53.125" style="197" customWidth="1"/>
    <col min="8706" max="8706" width="18.00390625" style="197" customWidth="1"/>
    <col min="8707" max="8708" width="17.625" style="197" customWidth="1"/>
    <col min="8709" max="8709" width="32.25390625" style="197" customWidth="1"/>
    <col min="8710" max="8959" width="14.75390625" style="197" customWidth="1"/>
    <col min="8960" max="8960" width="8.25390625" style="197" customWidth="1"/>
    <col min="8961" max="8961" width="53.125" style="197" customWidth="1"/>
    <col min="8962" max="8962" width="18.00390625" style="197" customWidth="1"/>
    <col min="8963" max="8964" width="17.625" style="197" customWidth="1"/>
    <col min="8965" max="8965" width="32.25390625" style="197" customWidth="1"/>
    <col min="8966" max="9215" width="14.75390625" style="197" customWidth="1"/>
    <col min="9216" max="9216" width="8.25390625" style="197" customWidth="1"/>
    <col min="9217" max="9217" width="53.125" style="197" customWidth="1"/>
    <col min="9218" max="9218" width="18.00390625" style="197" customWidth="1"/>
    <col min="9219" max="9220" width="17.625" style="197" customWidth="1"/>
    <col min="9221" max="9221" width="32.25390625" style="197" customWidth="1"/>
    <col min="9222" max="9471" width="14.75390625" style="197" customWidth="1"/>
    <col min="9472" max="9472" width="8.25390625" style="197" customWidth="1"/>
    <col min="9473" max="9473" width="53.125" style="197" customWidth="1"/>
    <col min="9474" max="9474" width="18.00390625" style="197" customWidth="1"/>
    <col min="9475" max="9476" width="17.625" style="197" customWidth="1"/>
    <col min="9477" max="9477" width="32.25390625" style="197" customWidth="1"/>
    <col min="9478" max="9727" width="14.75390625" style="197" customWidth="1"/>
    <col min="9728" max="9728" width="8.25390625" style="197" customWidth="1"/>
    <col min="9729" max="9729" width="53.125" style="197" customWidth="1"/>
    <col min="9730" max="9730" width="18.00390625" style="197" customWidth="1"/>
    <col min="9731" max="9732" width="17.625" style="197" customWidth="1"/>
    <col min="9733" max="9733" width="32.25390625" style="197" customWidth="1"/>
    <col min="9734" max="9983" width="14.75390625" style="197" customWidth="1"/>
    <col min="9984" max="9984" width="8.25390625" style="197" customWidth="1"/>
    <col min="9985" max="9985" width="53.125" style="197" customWidth="1"/>
    <col min="9986" max="9986" width="18.00390625" style="197" customWidth="1"/>
    <col min="9987" max="9988" width="17.625" style="197" customWidth="1"/>
    <col min="9989" max="9989" width="32.25390625" style="197" customWidth="1"/>
    <col min="9990" max="10239" width="14.75390625" style="197" customWidth="1"/>
    <col min="10240" max="10240" width="8.25390625" style="197" customWidth="1"/>
    <col min="10241" max="10241" width="53.125" style="197" customWidth="1"/>
    <col min="10242" max="10242" width="18.00390625" style="197" customWidth="1"/>
    <col min="10243" max="10244" width="17.625" style="197" customWidth="1"/>
    <col min="10245" max="10245" width="32.25390625" style="197" customWidth="1"/>
    <col min="10246" max="10495" width="14.75390625" style="197" customWidth="1"/>
    <col min="10496" max="10496" width="8.25390625" style="197" customWidth="1"/>
    <col min="10497" max="10497" width="53.125" style="197" customWidth="1"/>
    <col min="10498" max="10498" width="18.00390625" style="197" customWidth="1"/>
    <col min="10499" max="10500" width="17.625" style="197" customWidth="1"/>
    <col min="10501" max="10501" width="32.25390625" style="197" customWidth="1"/>
    <col min="10502" max="10751" width="14.75390625" style="197" customWidth="1"/>
    <col min="10752" max="10752" width="8.25390625" style="197" customWidth="1"/>
    <col min="10753" max="10753" width="53.125" style="197" customWidth="1"/>
    <col min="10754" max="10754" width="18.00390625" style="197" customWidth="1"/>
    <col min="10755" max="10756" width="17.625" style="197" customWidth="1"/>
    <col min="10757" max="10757" width="32.25390625" style="197" customWidth="1"/>
    <col min="10758" max="11007" width="14.75390625" style="197" customWidth="1"/>
    <col min="11008" max="11008" width="8.25390625" style="197" customWidth="1"/>
    <col min="11009" max="11009" width="53.125" style="197" customWidth="1"/>
    <col min="11010" max="11010" width="18.00390625" style="197" customWidth="1"/>
    <col min="11011" max="11012" width="17.625" style="197" customWidth="1"/>
    <col min="11013" max="11013" width="32.25390625" style="197" customWidth="1"/>
    <col min="11014" max="11263" width="14.75390625" style="197" customWidth="1"/>
    <col min="11264" max="11264" width="8.25390625" style="197" customWidth="1"/>
    <col min="11265" max="11265" width="53.125" style="197" customWidth="1"/>
    <col min="11266" max="11266" width="18.00390625" style="197" customWidth="1"/>
    <col min="11267" max="11268" width="17.625" style="197" customWidth="1"/>
    <col min="11269" max="11269" width="32.25390625" style="197" customWidth="1"/>
    <col min="11270" max="11519" width="14.75390625" style="197" customWidth="1"/>
    <col min="11520" max="11520" width="8.25390625" style="197" customWidth="1"/>
    <col min="11521" max="11521" width="53.125" style="197" customWidth="1"/>
    <col min="11522" max="11522" width="18.00390625" style="197" customWidth="1"/>
    <col min="11523" max="11524" width="17.625" style="197" customWidth="1"/>
    <col min="11525" max="11525" width="32.25390625" style="197" customWidth="1"/>
    <col min="11526" max="11775" width="14.75390625" style="197" customWidth="1"/>
    <col min="11776" max="11776" width="8.25390625" style="197" customWidth="1"/>
    <col min="11777" max="11777" width="53.125" style="197" customWidth="1"/>
    <col min="11778" max="11778" width="18.00390625" style="197" customWidth="1"/>
    <col min="11779" max="11780" width="17.625" style="197" customWidth="1"/>
    <col min="11781" max="11781" width="32.25390625" style="197" customWidth="1"/>
    <col min="11782" max="12031" width="14.75390625" style="197" customWidth="1"/>
    <col min="12032" max="12032" width="8.25390625" style="197" customWidth="1"/>
    <col min="12033" max="12033" width="53.125" style="197" customWidth="1"/>
    <col min="12034" max="12034" width="18.00390625" style="197" customWidth="1"/>
    <col min="12035" max="12036" width="17.625" style="197" customWidth="1"/>
    <col min="12037" max="12037" width="32.25390625" style="197" customWidth="1"/>
    <col min="12038" max="12287" width="14.75390625" style="197" customWidth="1"/>
    <col min="12288" max="12288" width="8.25390625" style="197" customWidth="1"/>
    <col min="12289" max="12289" width="53.125" style="197" customWidth="1"/>
    <col min="12290" max="12290" width="18.00390625" style="197" customWidth="1"/>
    <col min="12291" max="12292" width="17.625" style="197" customWidth="1"/>
    <col min="12293" max="12293" width="32.25390625" style="197" customWidth="1"/>
    <col min="12294" max="12543" width="14.75390625" style="197" customWidth="1"/>
    <col min="12544" max="12544" width="8.25390625" style="197" customWidth="1"/>
    <col min="12545" max="12545" width="53.125" style="197" customWidth="1"/>
    <col min="12546" max="12546" width="18.00390625" style="197" customWidth="1"/>
    <col min="12547" max="12548" width="17.625" style="197" customWidth="1"/>
    <col min="12549" max="12549" width="32.25390625" style="197" customWidth="1"/>
    <col min="12550" max="12799" width="14.75390625" style="197" customWidth="1"/>
    <col min="12800" max="12800" width="8.25390625" style="197" customWidth="1"/>
    <col min="12801" max="12801" width="53.125" style="197" customWidth="1"/>
    <col min="12802" max="12802" width="18.00390625" style="197" customWidth="1"/>
    <col min="12803" max="12804" width="17.625" style="197" customWidth="1"/>
    <col min="12805" max="12805" width="32.25390625" style="197" customWidth="1"/>
    <col min="12806" max="13055" width="14.75390625" style="197" customWidth="1"/>
    <col min="13056" max="13056" width="8.25390625" style="197" customWidth="1"/>
    <col min="13057" max="13057" width="53.125" style="197" customWidth="1"/>
    <col min="13058" max="13058" width="18.00390625" style="197" customWidth="1"/>
    <col min="13059" max="13060" width="17.625" style="197" customWidth="1"/>
    <col min="13061" max="13061" width="32.25390625" style="197" customWidth="1"/>
    <col min="13062" max="13311" width="14.75390625" style="197" customWidth="1"/>
    <col min="13312" max="13312" width="8.25390625" style="197" customWidth="1"/>
    <col min="13313" max="13313" width="53.125" style="197" customWidth="1"/>
    <col min="13314" max="13314" width="18.00390625" style="197" customWidth="1"/>
    <col min="13315" max="13316" width="17.625" style="197" customWidth="1"/>
    <col min="13317" max="13317" width="32.25390625" style="197" customWidth="1"/>
    <col min="13318" max="13567" width="14.75390625" style="197" customWidth="1"/>
    <col min="13568" max="13568" width="8.25390625" style="197" customWidth="1"/>
    <col min="13569" max="13569" width="53.125" style="197" customWidth="1"/>
    <col min="13570" max="13570" width="18.00390625" style="197" customWidth="1"/>
    <col min="13571" max="13572" width="17.625" style="197" customWidth="1"/>
    <col min="13573" max="13573" width="32.25390625" style="197" customWidth="1"/>
    <col min="13574" max="13823" width="14.75390625" style="197" customWidth="1"/>
    <col min="13824" max="13824" width="8.25390625" style="197" customWidth="1"/>
    <col min="13825" max="13825" width="53.125" style="197" customWidth="1"/>
    <col min="13826" max="13826" width="18.00390625" style="197" customWidth="1"/>
    <col min="13827" max="13828" width="17.625" style="197" customWidth="1"/>
    <col min="13829" max="13829" width="32.25390625" style="197" customWidth="1"/>
    <col min="13830" max="14079" width="14.75390625" style="197" customWidth="1"/>
    <col min="14080" max="14080" width="8.25390625" style="197" customWidth="1"/>
    <col min="14081" max="14081" width="53.125" style="197" customWidth="1"/>
    <col min="14082" max="14082" width="18.00390625" style="197" customWidth="1"/>
    <col min="14083" max="14084" width="17.625" style="197" customWidth="1"/>
    <col min="14085" max="14085" width="32.25390625" style="197" customWidth="1"/>
    <col min="14086" max="14335" width="14.75390625" style="197" customWidth="1"/>
    <col min="14336" max="14336" width="8.25390625" style="197" customWidth="1"/>
    <col min="14337" max="14337" width="53.125" style="197" customWidth="1"/>
    <col min="14338" max="14338" width="18.00390625" style="197" customWidth="1"/>
    <col min="14339" max="14340" width="17.625" style="197" customWidth="1"/>
    <col min="14341" max="14341" width="32.25390625" style="197" customWidth="1"/>
    <col min="14342" max="14591" width="14.75390625" style="197" customWidth="1"/>
    <col min="14592" max="14592" width="8.25390625" style="197" customWidth="1"/>
    <col min="14593" max="14593" width="53.125" style="197" customWidth="1"/>
    <col min="14594" max="14594" width="18.00390625" style="197" customWidth="1"/>
    <col min="14595" max="14596" width="17.625" style="197" customWidth="1"/>
    <col min="14597" max="14597" width="32.25390625" style="197" customWidth="1"/>
    <col min="14598" max="14847" width="14.75390625" style="197" customWidth="1"/>
    <col min="14848" max="14848" width="8.25390625" style="197" customWidth="1"/>
    <col min="14849" max="14849" width="53.125" style="197" customWidth="1"/>
    <col min="14850" max="14850" width="18.00390625" style="197" customWidth="1"/>
    <col min="14851" max="14852" width="17.625" style="197" customWidth="1"/>
    <col min="14853" max="14853" width="32.25390625" style="197" customWidth="1"/>
    <col min="14854" max="15103" width="14.75390625" style="197" customWidth="1"/>
    <col min="15104" max="15104" width="8.25390625" style="197" customWidth="1"/>
    <col min="15105" max="15105" width="53.125" style="197" customWidth="1"/>
    <col min="15106" max="15106" width="18.00390625" style="197" customWidth="1"/>
    <col min="15107" max="15108" width="17.625" style="197" customWidth="1"/>
    <col min="15109" max="15109" width="32.25390625" style="197" customWidth="1"/>
    <col min="15110" max="15359" width="14.75390625" style="197" customWidth="1"/>
    <col min="15360" max="15360" width="8.25390625" style="197" customWidth="1"/>
    <col min="15361" max="15361" width="53.125" style="197" customWidth="1"/>
    <col min="15362" max="15362" width="18.00390625" style="197" customWidth="1"/>
    <col min="15363" max="15364" width="17.625" style="197" customWidth="1"/>
    <col min="15365" max="15365" width="32.25390625" style="197" customWidth="1"/>
    <col min="15366" max="15615" width="14.75390625" style="197" customWidth="1"/>
    <col min="15616" max="15616" width="8.25390625" style="197" customWidth="1"/>
    <col min="15617" max="15617" width="53.125" style="197" customWidth="1"/>
    <col min="15618" max="15618" width="18.00390625" style="197" customWidth="1"/>
    <col min="15619" max="15620" width="17.625" style="197" customWidth="1"/>
    <col min="15621" max="15621" width="32.25390625" style="197" customWidth="1"/>
    <col min="15622" max="15871" width="14.75390625" style="197" customWidth="1"/>
    <col min="15872" max="15872" width="8.25390625" style="197" customWidth="1"/>
    <col min="15873" max="15873" width="53.125" style="197" customWidth="1"/>
    <col min="15874" max="15874" width="18.00390625" style="197" customWidth="1"/>
    <col min="15875" max="15876" width="17.625" style="197" customWidth="1"/>
    <col min="15877" max="15877" width="32.25390625" style="197" customWidth="1"/>
    <col min="15878" max="16127" width="14.75390625" style="197" customWidth="1"/>
    <col min="16128" max="16128" width="8.25390625" style="197" customWidth="1"/>
    <col min="16129" max="16129" width="53.125" style="197" customWidth="1"/>
    <col min="16130" max="16130" width="18.00390625" style="197" customWidth="1"/>
    <col min="16131" max="16132" width="17.625" style="197" customWidth="1"/>
    <col min="16133" max="16133" width="32.25390625" style="197" customWidth="1"/>
    <col min="16134" max="16384" width="14.75390625" style="197" customWidth="1"/>
  </cols>
  <sheetData>
    <row r="1" spans="1:4" ht="15.6" customHeight="1">
      <c r="A1" s="344" t="s">
        <v>470</v>
      </c>
      <c r="B1" s="344"/>
      <c r="C1" s="344"/>
      <c r="D1" s="344"/>
    </row>
    <row r="2" spans="1:5" ht="19.5" customHeight="1">
      <c r="A2" s="345" t="s">
        <v>446</v>
      </c>
      <c r="B2" s="345"/>
      <c r="C2" s="345"/>
      <c r="D2" s="345"/>
      <c r="E2" s="198"/>
    </row>
    <row r="3" spans="1:4" ht="18" customHeight="1">
      <c r="A3" s="344" t="s">
        <v>1099</v>
      </c>
      <c r="B3" s="344"/>
      <c r="C3" s="344"/>
      <c r="D3" s="344"/>
    </row>
    <row r="4" spans="2:4" ht="12.75">
      <c r="B4" s="199"/>
      <c r="C4" s="199"/>
      <c r="D4" s="199"/>
    </row>
    <row r="5" spans="1:4" ht="48" customHeight="1">
      <c r="A5" s="346" t="s">
        <v>460</v>
      </c>
      <c r="B5" s="346"/>
      <c r="C5" s="346"/>
      <c r="D5" s="346"/>
    </row>
    <row r="6" spans="1:4" ht="28.5" customHeight="1">
      <c r="A6" s="347"/>
      <c r="B6" s="347"/>
      <c r="C6" s="347"/>
      <c r="D6" s="347"/>
    </row>
    <row r="7" spans="1:4" ht="22.9" customHeight="1">
      <c r="A7" s="200" t="s">
        <v>447</v>
      </c>
      <c r="B7" s="200" t="s">
        <v>448</v>
      </c>
      <c r="C7" s="200"/>
      <c r="D7" s="200"/>
    </row>
    <row r="8" spans="1:4" ht="12.75">
      <c r="A8" s="201"/>
      <c r="D8" s="202" t="s">
        <v>449</v>
      </c>
    </row>
    <row r="9" spans="1:4" s="203" customFormat="1" ht="47.25">
      <c r="A9" s="214" t="s">
        <v>450</v>
      </c>
      <c r="B9" s="214" t="s">
        <v>451</v>
      </c>
      <c r="C9" s="155" t="s">
        <v>402</v>
      </c>
      <c r="D9" s="11" t="s">
        <v>403</v>
      </c>
    </row>
    <row r="10" spans="1:4" s="203" customFormat="1" ht="12.75">
      <c r="A10" s="82">
        <v>1</v>
      </c>
      <c r="B10" s="82">
        <v>2</v>
      </c>
      <c r="C10" s="82">
        <v>3</v>
      </c>
      <c r="D10" s="82">
        <v>4</v>
      </c>
    </row>
    <row r="11" spans="1:4" ht="36" customHeight="1">
      <c r="A11" s="204">
        <v>1</v>
      </c>
      <c r="B11" s="205" t="s">
        <v>452</v>
      </c>
      <c r="C11" s="206">
        <v>0</v>
      </c>
      <c r="D11" s="206">
        <v>0</v>
      </c>
    </row>
    <row r="12" spans="1:4" ht="20.45" customHeight="1">
      <c r="A12" s="204"/>
      <c r="B12" s="207" t="s">
        <v>453</v>
      </c>
      <c r="C12" s="208">
        <f>C11</f>
        <v>0</v>
      </c>
      <c r="D12" s="208">
        <f aca="true" t="shared" si="0" ref="D12">D11</f>
        <v>0</v>
      </c>
    </row>
    <row r="13" spans="3:4" ht="12.75">
      <c r="C13" s="202"/>
      <c r="D13" s="202"/>
    </row>
    <row r="14" spans="1:4" ht="27.6" customHeight="1">
      <c r="A14" s="343" t="s">
        <v>454</v>
      </c>
      <c r="B14" s="343"/>
      <c r="C14" s="343"/>
      <c r="D14" s="343"/>
    </row>
    <row r="15" ht="12.75">
      <c r="D15" s="202" t="s">
        <v>449</v>
      </c>
    </row>
    <row r="16" spans="1:4" s="203" customFormat="1" ht="47.25">
      <c r="A16" s="214" t="s">
        <v>455</v>
      </c>
      <c r="B16" s="214" t="s">
        <v>456</v>
      </c>
      <c r="C16" s="155" t="s">
        <v>402</v>
      </c>
      <c r="D16" s="11" t="s">
        <v>403</v>
      </c>
    </row>
    <row r="17" spans="1:4" s="203" customFormat="1" ht="12.75">
      <c r="A17" s="82">
        <v>1</v>
      </c>
      <c r="B17" s="82">
        <v>2</v>
      </c>
      <c r="C17" s="82">
        <v>3</v>
      </c>
      <c r="D17" s="82">
        <v>4</v>
      </c>
    </row>
    <row r="18" spans="1:4" ht="31.5">
      <c r="A18" s="209">
        <v>1</v>
      </c>
      <c r="B18" s="205" t="s">
        <v>457</v>
      </c>
      <c r="C18" s="210">
        <f>C20</f>
        <v>-26930.8</v>
      </c>
      <c r="D18" s="210">
        <f aca="true" t="shared" si="1" ref="D18">D20</f>
        <v>-26930.8</v>
      </c>
    </row>
    <row r="19" spans="1:4" ht="12.75">
      <c r="A19" s="211"/>
      <c r="B19" s="205" t="s">
        <v>458</v>
      </c>
      <c r="C19" s="209"/>
      <c r="D19" s="210"/>
    </row>
    <row r="20" spans="1:4" ht="24" customHeight="1">
      <c r="A20" s="211"/>
      <c r="B20" s="205" t="s">
        <v>459</v>
      </c>
      <c r="C20" s="86">
        <v>-26930.8</v>
      </c>
      <c r="D20" s="86">
        <v>-26930.8</v>
      </c>
    </row>
    <row r="21" spans="1:4" ht="21" customHeight="1">
      <c r="A21" s="211"/>
      <c r="B21" s="212" t="s">
        <v>453</v>
      </c>
      <c r="C21" s="213">
        <f>C18</f>
        <v>-26930.8</v>
      </c>
      <c r="D21" s="213">
        <f>D18</f>
        <v>-26930.8</v>
      </c>
    </row>
  </sheetData>
  <mergeCells count="6">
    <mergeCell ref="A14:D14"/>
    <mergeCell ref="A1:D1"/>
    <mergeCell ref="A2:D2"/>
    <mergeCell ref="A3:D3"/>
    <mergeCell ref="A5:D5"/>
    <mergeCell ref="A6:D6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3" sqref="A3:E3"/>
    </sheetView>
  </sheetViews>
  <sheetFormatPr defaultColWidth="9.125" defaultRowHeight="12.75"/>
  <cols>
    <col min="1" max="1" width="42.75390625" style="81" customWidth="1"/>
    <col min="2" max="2" width="17.375" style="81" customWidth="1"/>
    <col min="3" max="3" width="28.125" style="81" customWidth="1"/>
    <col min="4" max="4" width="14.625" style="89" customWidth="1"/>
    <col min="5" max="5" width="14.00390625" style="81" customWidth="1"/>
    <col min="6" max="16384" width="9.125" style="81" customWidth="1"/>
  </cols>
  <sheetData>
    <row r="1" spans="1:5" ht="12.75">
      <c r="A1" s="308" t="s">
        <v>461</v>
      </c>
      <c r="B1" s="308"/>
      <c r="C1" s="308"/>
      <c r="D1" s="308"/>
      <c r="E1" s="308"/>
    </row>
    <row r="2" spans="1:5" ht="12.75">
      <c r="A2" s="308" t="s">
        <v>462</v>
      </c>
      <c r="B2" s="308"/>
      <c r="C2" s="308"/>
      <c r="D2" s="308"/>
      <c r="E2" s="308"/>
    </row>
    <row r="3" spans="1:5" ht="12.75">
      <c r="A3" s="308" t="s">
        <v>1091</v>
      </c>
      <c r="B3" s="308"/>
      <c r="C3" s="308"/>
      <c r="D3" s="308"/>
      <c r="E3" s="308"/>
    </row>
    <row r="5" spans="1:5" ht="19.9" customHeight="1">
      <c r="A5" s="307" t="s">
        <v>463</v>
      </c>
      <c r="B5" s="307"/>
      <c r="C5" s="307"/>
      <c r="D5" s="307"/>
      <c r="E5" s="307"/>
    </row>
    <row r="6" spans="1:5" ht="19.9" customHeight="1">
      <c r="A6" s="307" t="s">
        <v>469</v>
      </c>
      <c r="B6" s="307"/>
      <c r="C6" s="307"/>
      <c r="D6" s="307"/>
      <c r="E6" s="307"/>
    </row>
    <row r="7" ht="37.9" customHeight="1">
      <c r="E7" s="81" t="s">
        <v>464</v>
      </c>
    </row>
    <row r="8" spans="1:5" ht="12.75">
      <c r="A8" s="312" t="s">
        <v>18</v>
      </c>
      <c r="B8" s="314" t="s">
        <v>465</v>
      </c>
      <c r="C8" s="315"/>
      <c r="D8" s="312" t="s">
        <v>402</v>
      </c>
      <c r="E8" s="312" t="s">
        <v>403</v>
      </c>
    </row>
    <row r="9" spans="1:5" ht="63">
      <c r="A9" s="313"/>
      <c r="B9" s="92" t="s">
        <v>466</v>
      </c>
      <c r="C9" s="92" t="s">
        <v>467</v>
      </c>
      <c r="D9" s="313"/>
      <c r="E9" s="313"/>
    </row>
    <row r="10" spans="1:5" ht="12.75">
      <c r="A10" s="92">
        <v>1</v>
      </c>
      <c r="B10" s="92">
        <v>2</v>
      </c>
      <c r="C10" s="92">
        <v>3</v>
      </c>
      <c r="D10" s="92">
        <v>4</v>
      </c>
      <c r="E10" s="82">
        <v>5</v>
      </c>
    </row>
    <row r="11" spans="1:5" ht="37.9" customHeight="1">
      <c r="A11" s="84" t="s">
        <v>335</v>
      </c>
      <c r="B11" s="221" t="s">
        <v>35</v>
      </c>
      <c r="C11" s="84"/>
      <c r="D11" s="85">
        <v>1267.9</v>
      </c>
      <c r="E11" s="85">
        <f>SUM(E12:E14)</f>
        <v>-50559.09999999998</v>
      </c>
    </row>
    <row r="12" spans="1:5" ht="78" customHeight="1">
      <c r="A12" s="43" t="s">
        <v>314</v>
      </c>
      <c r="B12" s="222" t="s">
        <v>35</v>
      </c>
      <c r="C12" s="80" t="s">
        <v>313</v>
      </c>
      <c r="D12" s="86">
        <f>-12930.8-14000</f>
        <v>-26930.8</v>
      </c>
      <c r="E12" s="86">
        <v>-26930.8</v>
      </c>
    </row>
    <row r="13" spans="1:5" ht="40.9" customHeight="1">
      <c r="A13" s="43" t="s">
        <v>321</v>
      </c>
      <c r="B13" s="222" t="s">
        <v>35</v>
      </c>
      <c r="C13" s="80" t="s">
        <v>320</v>
      </c>
      <c r="D13" s="86">
        <f>-971032.1-2478.5</f>
        <v>-973510.6</v>
      </c>
      <c r="E13" s="219">
        <v>-998586.1</v>
      </c>
    </row>
    <row r="14" spans="1:5" ht="38.45" customHeight="1">
      <c r="A14" s="43" t="s">
        <v>327</v>
      </c>
      <c r="B14" s="222" t="s">
        <v>35</v>
      </c>
      <c r="C14" s="80" t="s">
        <v>326</v>
      </c>
      <c r="D14" s="86">
        <v>1002998.3</v>
      </c>
      <c r="E14" s="220">
        <v>974957.8</v>
      </c>
    </row>
    <row r="15" spans="1:9" ht="31.9" customHeight="1">
      <c r="A15" s="309" t="s">
        <v>468</v>
      </c>
      <c r="B15" s="310"/>
      <c r="C15" s="311"/>
      <c r="D15" s="85">
        <f>D11</f>
        <v>1267.9</v>
      </c>
      <c r="E15" s="85">
        <f>E11</f>
        <v>-50559.09999999998</v>
      </c>
      <c r="I15" s="297"/>
    </row>
    <row r="17" spans="1:5" s="89" customFormat="1" ht="12.75">
      <c r="A17" s="88"/>
      <c r="B17" s="88"/>
      <c r="C17" s="88"/>
      <c r="E17" s="81"/>
    </row>
    <row r="18" spans="1:5" s="89" customFormat="1" ht="12.75">
      <c r="A18" s="218"/>
      <c r="B18" s="218"/>
      <c r="C18" s="218"/>
      <c r="E18" s="81"/>
    </row>
  </sheetData>
  <mergeCells count="10">
    <mergeCell ref="A15:C15"/>
    <mergeCell ref="A1:E1"/>
    <mergeCell ref="A2:E2"/>
    <mergeCell ref="A3:E3"/>
    <mergeCell ref="A5:E5"/>
    <mergeCell ref="A6:E6"/>
    <mergeCell ref="A8:A9"/>
    <mergeCell ref="B8:C8"/>
    <mergeCell ref="D8:D9"/>
    <mergeCell ref="E8:E9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view="pageBreakPreview" zoomScale="60" workbookViewId="0" topLeftCell="A1">
      <selection activeCell="B3" sqref="B3:D3"/>
    </sheetView>
  </sheetViews>
  <sheetFormatPr defaultColWidth="9.125" defaultRowHeight="12.75"/>
  <cols>
    <col min="1" max="1" width="31.75390625" style="298" bestFit="1" customWidth="1"/>
    <col min="2" max="2" width="66.625" style="225" customWidth="1"/>
    <col min="3" max="3" width="14.375" style="229" customWidth="1"/>
    <col min="4" max="4" width="14.125" style="229" customWidth="1"/>
    <col min="5" max="9" width="9.125" style="226" customWidth="1"/>
    <col min="10" max="10" width="10.125" style="226" bestFit="1" customWidth="1"/>
    <col min="11" max="16384" width="9.125" style="226" customWidth="1"/>
  </cols>
  <sheetData>
    <row r="1" spans="1:4" ht="12.75">
      <c r="A1" s="224"/>
      <c r="C1" s="316" t="s">
        <v>471</v>
      </c>
      <c r="D1" s="316"/>
    </row>
    <row r="2" spans="1:4" ht="12.75">
      <c r="A2" s="317" t="s">
        <v>472</v>
      </c>
      <c r="B2" s="317"/>
      <c r="C2" s="317"/>
      <c r="D2" s="317"/>
    </row>
    <row r="3" spans="2:4" ht="12.75">
      <c r="B3" s="317" t="s">
        <v>1092</v>
      </c>
      <c r="C3" s="317"/>
      <c r="D3" s="317"/>
    </row>
    <row r="4" spans="2:4" ht="12.75">
      <c r="B4" s="227"/>
      <c r="C4" s="227"/>
      <c r="D4" s="227"/>
    </row>
    <row r="5" spans="1:2" ht="12.75">
      <c r="A5" s="224"/>
      <c r="B5" s="228"/>
    </row>
    <row r="6" spans="1:4" ht="52.9" customHeight="1">
      <c r="A6" s="318" t="s">
        <v>473</v>
      </c>
      <c r="B6" s="318"/>
      <c r="C6" s="318"/>
      <c r="D6" s="318"/>
    </row>
    <row r="7" spans="1:2" ht="12.75">
      <c r="A7" s="230"/>
      <c r="B7" s="230"/>
    </row>
    <row r="8" spans="1:4" ht="47.25">
      <c r="A8" s="231" t="s">
        <v>474</v>
      </c>
      <c r="B8" s="232" t="s">
        <v>475</v>
      </c>
      <c r="C8" s="233" t="s">
        <v>402</v>
      </c>
      <c r="D8" s="233" t="s">
        <v>403</v>
      </c>
    </row>
    <row r="9" spans="1:4" ht="12.75">
      <c r="A9" s="234" t="s">
        <v>476</v>
      </c>
      <c r="B9" s="235" t="s">
        <v>477</v>
      </c>
      <c r="C9" s="236">
        <f>C10+C16+C26+C38+C46+C49+C63+C74+C82+C124+C71</f>
        <v>427644.9</v>
      </c>
      <c r="D9" s="236">
        <f aca="true" t="shared" si="0" ref="D9">D10+D16+D26+D38+D46+D49+D63+D74+D82+D124+D71</f>
        <v>466550.69999999995</v>
      </c>
    </row>
    <row r="10" spans="1:4" ht="12.75">
      <c r="A10" s="234" t="s">
        <v>478</v>
      </c>
      <c r="B10" s="235" t="s">
        <v>479</v>
      </c>
      <c r="C10" s="236">
        <f aca="true" t="shared" si="1" ref="C10:D10">C11</f>
        <v>254242.30000000002</v>
      </c>
      <c r="D10" s="236">
        <f t="shared" si="1"/>
        <v>286521.39999999997</v>
      </c>
    </row>
    <row r="11" spans="1:4" ht="12.75">
      <c r="A11" s="234" t="s">
        <v>480</v>
      </c>
      <c r="B11" s="235" t="s">
        <v>481</v>
      </c>
      <c r="C11" s="236">
        <f aca="true" t="shared" si="2" ref="C11:D11">C12+C13+C14+C15</f>
        <v>254242.30000000002</v>
      </c>
      <c r="D11" s="236">
        <f t="shared" si="2"/>
        <v>286521.39999999997</v>
      </c>
    </row>
    <row r="12" spans="1:4" ht="78.75">
      <c r="A12" s="237" t="s">
        <v>482</v>
      </c>
      <c r="B12" s="238" t="s">
        <v>483</v>
      </c>
      <c r="C12" s="239">
        <f>242946.6+2787.6+3160.6</f>
        <v>248894.80000000002</v>
      </c>
      <c r="D12" s="239">
        <v>280167.6</v>
      </c>
    </row>
    <row r="13" spans="1:4" ht="110.25">
      <c r="A13" s="237" t="s">
        <v>484</v>
      </c>
      <c r="B13" s="238" t="s">
        <v>485</v>
      </c>
      <c r="C13" s="239">
        <v>1703.9</v>
      </c>
      <c r="D13" s="239">
        <v>930.8</v>
      </c>
    </row>
    <row r="14" spans="1:4" ht="47.25">
      <c r="A14" s="237" t="s">
        <v>486</v>
      </c>
      <c r="B14" s="238" t="s">
        <v>487</v>
      </c>
      <c r="C14" s="239">
        <v>1964.5</v>
      </c>
      <c r="D14" s="239">
        <v>3150.6</v>
      </c>
    </row>
    <row r="15" spans="1:4" ht="94.5">
      <c r="A15" s="237" t="s">
        <v>488</v>
      </c>
      <c r="B15" s="238" t="s">
        <v>489</v>
      </c>
      <c r="C15" s="239">
        <v>1679.1</v>
      </c>
      <c r="D15" s="239">
        <v>2272.4</v>
      </c>
    </row>
    <row r="16" spans="1:4" ht="47.25">
      <c r="A16" s="234" t="s">
        <v>490</v>
      </c>
      <c r="B16" s="235" t="s">
        <v>491</v>
      </c>
      <c r="C16" s="236">
        <f aca="true" t="shared" si="3" ref="C16:D16">C17</f>
        <v>3182.9</v>
      </c>
      <c r="D16" s="236">
        <f t="shared" si="3"/>
        <v>4192.2</v>
      </c>
    </row>
    <row r="17" spans="1:4" ht="31.5">
      <c r="A17" s="234" t="s">
        <v>492</v>
      </c>
      <c r="B17" s="235" t="s">
        <v>493</v>
      </c>
      <c r="C17" s="236">
        <f aca="true" t="shared" si="4" ref="C17:D17">C18+C20+C22+C24</f>
        <v>3182.9</v>
      </c>
      <c r="D17" s="236">
        <f t="shared" si="4"/>
        <v>4192.2</v>
      </c>
    </row>
    <row r="18" spans="1:4" ht="78.75">
      <c r="A18" s="237" t="s">
        <v>494</v>
      </c>
      <c r="B18" s="238" t="s">
        <v>495</v>
      </c>
      <c r="C18" s="239">
        <f aca="true" t="shared" si="5" ref="C18:D18">C19</f>
        <v>1151.1</v>
      </c>
      <c r="D18" s="239">
        <f t="shared" si="5"/>
        <v>1935.4</v>
      </c>
    </row>
    <row r="19" spans="1:4" ht="110.25">
      <c r="A19" s="237" t="s">
        <v>496</v>
      </c>
      <c r="B19" s="238" t="s">
        <v>497</v>
      </c>
      <c r="C19" s="239">
        <v>1151.1</v>
      </c>
      <c r="D19" s="239">
        <v>1935.4</v>
      </c>
    </row>
    <row r="20" spans="1:4" ht="94.5">
      <c r="A20" s="237" t="s">
        <v>498</v>
      </c>
      <c r="B20" s="238" t="s">
        <v>499</v>
      </c>
      <c r="C20" s="239">
        <f aca="true" t="shared" si="6" ref="C20:D20">C21</f>
        <v>7.4</v>
      </c>
      <c r="D20" s="239">
        <f t="shared" si="6"/>
        <v>13.6</v>
      </c>
    </row>
    <row r="21" spans="1:4" ht="126">
      <c r="A21" s="237" t="s">
        <v>500</v>
      </c>
      <c r="B21" s="244" t="s">
        <v>501</v>
      </c>
      <c r="C21" s="239">
        <v>7.4</v>
      </c>
      <c r="D21" s="239">
        <v>13.6</v>
      </c>
    </row>
    <row r="22" spans="1:4" ht="78.75">
      <c r="A22" s="237" t="s">
        <v>502</v>
      </c>
      <c r="B22" s="244" t="s">
        <v>503</v>
      </c>
      <c r="C22" s="239">
        <f aca="true" t="shared" si="7" ref="C22:D22">C23</f>
        <v>2232.8</v>
      </c>
      <c r="D22" s="239">
        <f t="shared" si="7"/>
        <v>2573.3</v>
      </c>
    </row>
    <row r="23" spans="1:4" ht="126">
      <c r="A23" s="237" t="s">
        <v>504</v>
      </c>
      <c r="B23" s="244" t="s">
        <v>505</v>
      </c>
      <c r="C23" s="239">
        <v>2232.8</v>
      </c>
      <c r="D23" s="239">
        <v>2573.3</v>
      </c>
    </row>
    <row r="24" spans="1:4" ht="78.75">
      <c r="A24" s="237" t="s">
        <v>506</v>
      </c>
      <c r="B24" s="244" t="s">
        <v>507</v>
      </c>
      <c r="C24" s="239">
        <f aca="true" t="shared" si="8" ref="C24:D24">C25</f>
        <v>-208.4</v>
      </c>
      <c r="D24" s="239">
        <f t="shared" si="8"/>
        <v>-330.1</v>
      </c>
    </row>
    <row r="25" spans="1:4" ht="110.25">
      <c r="A25" s="237" t="s">
        <v>508</v>
      </c>
      <c r="B25" s="238" t="s">
        <v>509</v>
      </c>
      <c r="C25" s="239">
        <v>-208.4</v>
      </c>
      <c r="D25" s="239">
        <v>-330.1</v>
      </c>
    </row>
    <row r="26" spans="1:4" ht="12.75">
      <c r="A26" s="234" t="s">
        <v>510</v>
      </c>
      <c r="B26" s="235" t="s">
        <v>511</v>
      </c>
      <c r="C26" s="236">
        <f>C33+C36+C27</f>
        <v>35961.6</v>
      </c>
      <c r="D26" s="236">
        <f>D33+D36+D27</f>
        <v>40371.3</v>
      </c>
    </row>
    <row r="27" spans="1:4" ht="31.5">
      <c r="A27" s="234" t="s">
        <v>512</v>
      </c>
      <c r="B27" s="235" t="s">
        <v>513</v>
      </c>
      <c r="C27" s="236">
        <f>C28+C30+C32</f>
        <v>21355.2</v>
      </c>
      <c r="D27" s="236">
        <f>D28+D30+D32</f>
        <v>26258.8</v>
      </c>
    </row>
    <row r="28" spans="1:4" ht="31.5">
      <c r="A28" s="237" t="s">
        <v>514</v>
      </c>
      <c r="B28" s="238" t="s">
        <v>515</v>
      </c>
      <c r="C28" s="239">
        <f>C29</f>
        <v>15781.4</v>
      </c>
      <c r="D28" s="239">
        <f aca="true" t="shared" si="9" ref="D28">D29</f>
        <v>17488.1</v>
      </c>
    </row>
    <row r="29" spans="1:4" ht="31.5">
      <c r="A29" s="237" t="s">
        <v>516</v>
      </c>
      <c r="B29" s="238" t="s">
        <v>515</v>
      </c>
      <c r="C29" s="239">
        <v>15781.4</v>
      </c>
      <c r="D29" s="239">
        <v>17488.1</v>
      </c>
    </row>
    <row r="30" spans="1:4" ht="47.25">
      <c r="A30" s="237" t="s">
        <v>517</v>
      </c>
      <c r="B30" s="238" t="s">
        <v>518</v>
      </c>
      <c r="C30" s="239">
        <f>C31</f>
        <v>5573.5</v>
      </c>
      <c r="D30" s="239">
        <f aca="true" t="shared" si="10" ref="D30">D31</f>
        <v>8770.7</v>
      </c>
    </row>
    <row r="31" spans="1:4" ht="63">
      <c r="A31" s="237" t="s">
        <v>519</v>
      </c>
      <c r="B31" s="238" t="s">
        <v>520</v>
      </c>
      <c r="C31" s="239">
        <v>5573.5</v>
      </c>
      <c r="D31" s="239">
        <v>8770.7</v>
      </c>
    </row>
    <row r="32" spans="1:4" ht="47.25">
      <c r="A32" s="237" t="s">
        <v>521</v>
      </c>
      <c r="B32" s="238" t="s">
        <v>522</v>
      </c>
      <c r="C32" s="239">
        <v>0.3</v>
      </c>
      <c r="D32" s="239">
        <v>0</v>
      </c>
    </row>
    <row r="33" spans="1:4" ht="31.5">
      <c r="A33" s="234" t="s">
        <v>523</v>
      </c>
      <c r="B33" s="235" t="s">
        <v>524</v>
      </c>
      <c r="C33" s="236">
        <f>C34+C35</f>
        <v>6926.4</v>
      </c>
      <c r="D33" s="236">
        <f aca="true" t="shared" si="11" ref="D33">D34+D35</f>
        <v>4930.1</v>
      </c>
    </row>
    <row r="34" spans="1:4" ht="31.5">
      <c r="A34" s="237" t="s">
        <v>525</v>
      </c>
      <c r="B34" s="238" t="s">
        <v>524</v>
      </c>
      <c r="C34" s="240">
        <f>7812-885.1</f>
        <v>6926.9</v>
      </c>
      <c r="D34" s="240">
        <v>4930.6</v>
      </c>
    </row>
    <row r="35" spans="1:4" ht="47.25">
      <c r="A35" s="237" t="s">
        <v>526</v>
      </c>
      <c r="B35" s="238" t="s">
        <v>527</v>
      </c>
      <c r="C35" s="240">
        <v>-0.5</v>
      </c>
      <c r="D35" s="240">
        <v>-0.5</v>
      </c>
    </row>
    <row r="36" spans="1:4" ht="31.5">
      <c r="A36" s="234" t="s">
        <v>528</v>
      </c>
      <c r="B36" s="235" t="s">
        <v>529</v>
      </c>
      <c r="C36" s="236">
        <f aca="true" t="shared" si="12" ref="C36:D36">C37</f>
        <v>7680</v>
      </c>
      <c r="D36" s="236">
        <f t="shared" si="12"/>
        <v>9182.4</v>
      </c>
    </row>
    <row r="37" spans="1:4" ht="31.5">
      <c r="A37" s="237" t="s">
        <v>530</v>
      </c>
      <c r="B37" s="238" t="s">
        <v>531</v>
      </c>
      <c r="C37" s="241">
        <v>7680</v>
      </c>
      <c r="D37" s="241">
        <v>9182.4</v>
      </c>
    </row>
    <row r="38" spans="1:4" ht="12.75">
      <c r="A38" s="234" t="s">
        <v>532</v>
      </c>
      <c r="B38" s="235" t="s">
        <v>533</v>
      </c>
      <c r="C38" s="236">
        <f aca="true" t="shared" si="13" ref="C38:D38">C39+C41</f>
        <v>62810</v>
      </c>
      <c r="D38" s="236">
        <f t="shared" si="13"/>
        <v>62296.5</v>
      </c>
    </row>
    <row r="39" spans="1:4" ht="12.75">
      <c r="A39" s="234" t="s">
        <v>534</v>
      </c>
      <c r="B39" s="235" t="s">
        <v>535</v>
      </c>
      <c r="C39" s="236">
        <f aca="true" t="shared" si="14" ref="C39:D39">C40</f>
        <v>16603</v>
      </c>
      <c r="D39" s="236">
        <f t="shared" si="14"/>
        <v>19456.3</v>
      </c>
    </row>
    <row r="40" spans="1:4" ht="47.25">
      <c r="A40" s="237" t="s">
        <v>536</v>
      </c>
      <c r="B40" s="238" t="s">
        <v>537</v>
      </c>
      <c r="C40" s="242">
        <v>16603</v>
      </c>
      <c r="D40" s="242">
        <v>19456.3</v>
      </c>
    </row>
    <row r="41" spans="1:4" ht="12.75">
      <c r="A41" s="234" t="s">
        <v>538</v>
      </c>
      <c r="B41" s="235" t="s">
        <v>539</v>
      </c>
      <c r="C41" s="236">
        <f aca="true" t="shared" si="15" ref="C41:D41">C42+C44</f>
        <v>46207</v>
      </c>
      <c r="D41" s="236">
        <f t="shared" si="15"/>
        <v>42840.2</v>
      </c>
    </row>
    <row r="42" spans="1:4" ht="12.75">
      <c r="A42" s="237" t="s">
        <v>540</v>
      </c>
      <c r="B42" s="238" t="s">
        <v>541</v>
      </c>
      <c r="C42" s="239">
        <f aca="true" t="shared" si="16" ref="C42:D42">C43</f>
        <v>37828</v>
      </c>
      <c r="D42" s="239">
        <f t="shared" si="16"/>
        <v>34495.6</v>
      </c>
    </row>
    <row r="43" spans="1:4" ht="31.5">
      <c r="A43" s="237" t="s">
        <v>542</v>
      </c>
      <c r="B43" s="238" t="s">
        <v>543</v>
      </c>
      <c r="C43" s="242">
        <v>37828</v>
      </c>
      <c r="D43" s="242">
        <v>34495.6</v>
      </c>
    </row>
    <row r="44" spans="1:4" ht="12.75">
      <c r="A44" s="237" t="s">
        <v>544</v>
      </c>
      <c r="B44" s="238" t="s">
        <v>545</v>
      </c>
      <c r="C44" s="239">
        <f aca="true" t="shared" si="17" ref="C44:D44">C45</f>
        <v>8379</v>
      </c>
      <c r="D44" s="239">
        <f t="shared" si="17"/>
        <v>8344.6</v>
      </c>
    </row>
    <row r="45" spans="1:4" ht="31.5">
      <c r="A45" s="237" t="s">
        <v>546</v>
      </c>
      <c r="B45" s="238" t="s">
        <v>547</v>
      </c>
      <c r="C45" s="242">
        <v>8379</v>
      </c>
      <c r="D45" s="242">
        <v>8344.6</v>
      </c>
    </row>
    <row r="46" spans="1:4" ht="12.75">
      <c r="A46" s="234" t="s">
        <v>548</v>
      </c>
      <c r="B46" s="235" t="s">
        <v>549</v>
      </c>
      <c r="C46" s="236">
        <f aca="true" t="shared" si="18" ref="C46:D47">C47</f>
        <v>6175</v>
      </c>
      <c r="D46" s="236">
        <f t="shared" si="18"/>
        <v>6511.2</v>
      </c>
    </row>
    <row r="47" spans="1:4" ht="31.5">
      <c r="A47" s="234" t="s">
        <v>550</v>
      </c>
      <c r="B47" s="235" t="s">
        <v>551</v>
      </c>
      <c r="C47" s="236">
        <f t="shared" si="18"/>
        <v>6175</v>
      </c>
      <c r="D47" s="236">
        <f t="shared" si="18"/>
        <v>6511.2</v>
      </c>
    </row>
    <row r="48" spans="1:4" ht="47.25">
      <c r="A48" s="237" t="s">
        <v>552</v>
      </c>
      <c r="B48" s="238" t="s">
        <v>553</v>
      </c>
      <c r="C48" s="242">
        <v>6175</v>
      </c>
      <c r="D48" s="242">
        <v>6511.2</v>
      </c>
    </row>
    <row r="49" spans="1:4" ht="47.25">
      <c r="A49" s="234" t="s">
        <v>554</v>
      </c>
      <c r="B49" s="235" t="s">
        <v>555</v>
      </c>
      <c r="C49" s="236">
        <f aca="true" t="shared" si="19" ref="C49:D49">C50+C57+C60</f>
        <v>28125.800000000003</v>
      </c>
      <c r="D49" s="236">
        <f t="shared" si="19"/>
        <v>30895.600000000002</v>
      </c>
    </row>
    <row r="50" spans="1:4" ht="94.5">
      <c r="A50" s="234" t="s">
        <v>556</v>
      </c>
      <c r="B50" s="235" t="s">
        <v>557</v>
      </c>
      <c r="C50" s="236">
        <f aca="true" t="shared" si="20" ref="C50:D50">C51+C53+C55</f>
        <v>25878.4</v>
      </c>
      <c r="D50" s="236">
        <f t="shared" si="20"/>
        <v>27469.3</v>
      </c>
    </row>
    <row r="51" spans="1:4" ht="63">
      <c r="A51" s="237" t="s">
        <v>558</v>
      </c>
      <c r="B51" s="238" t="s">
        <v>559</v>
      </c>
      <c r="C51" s="239">
        <f aca="true" t="shared" si="21" ref="C51:D51">C52</f>
        <v>12453</v>
      </c>
      <c r="D51" s="239">
        <f t="shared" si="21"/>
        <v>18748.8</v>
      </c>
    </row>
    <row r="52" spans="1:4" ht="78.75">
      <c r="A52" s="237" t="s">
        <v>560</v>
      </c>
      <c r="B52" s="238" t="s">
        <v>561</v>
      </c>
      <c r="C52" s="239">
        <f>12453</f>
        <v>12453</v>
      </c>
      <c r="D52" s="239">
        <v>18748.8</v>
      </c>
    </row>
    <row r="53" spans="1:4" ht="78.75">
      <c r="A53" s="237" t="s">
        <v>562</v>
      </c>
      <c r="B53" s="238" t="s">
        <v>563</v>
      </c>
      <c r="C53" s="242">
        <f aca="true" t="shared" si="22" ref="C53:D53">C54</f>
        <v>1351.2</v>
      </c>
      <c r="D53" s="242">
        <f t="shared" si="22"/>
        <v>1431.7</v>
      </c>
    </row>
    <row r="54" spans="1:4" ht="78.75">
      <c r="A54" s="237" t="s">
        <v>564</v>
      </c>
      <c r="B54" s="238" t="s">
        <v>565</v>
      </c>
      <c r="C54" s="242">
        <v>1351.2</v>
      </c>
      <c r="D54" s="242">
        <v>1431.7</v>
      </c>
    </row>
    <row r="55" spans="1:4" ht="47.25">
      <c r="A55" s="237" t="s">
        <v>566</v>
      </c>
      <c r="B55" s="238" t="s">
        <v>567</v>
      </c>
      <c r="C55" s="239">
        <f aca="true" t="shared" si="23" ref="C55:D55">C56</f>
        <v>12074.2</v>
      </c>
      <c r="D55" s="239">
        <f t="shared" si="23"/>
        <v>7288.8</v>
      </c>
    </row>
    <row r="56" spans="1:4" ht="31.5">
      <c r="A56" s="237" t="s">
        <v>568</v>
      </c>
      <c r="B56" s="238" t="s">
        <v>569</v>
      </c>
      <c r="C56" s="239">
        <f>12074.2</f>
        <v>12074.2</v>
      </c>
      <c r="D56" s="239">
        <v>7288.8</v>
      </c>
    </row>
    <row r="57" spans="1:4" ht="31.5">
      <c r="A57" s="234" t="s">
        <v>570</v>
      </c>
      <c r="B57" s="235" t="s">
        <v>571</v>
      </c>
      <c r="C57" s="236">
        <f aca="true" t="shared" si="24" ref="C57:D58">C58</f>
        <v>26</v>
      </c>
      <c r="D57" s="236">
        <f t="shared" si="24"/>
        <v>993.4</v>
      </c>
    </row>
    <row r="58" spans="1:4" ht="47.25">
      <c r="A58" s="237" t="s">
        <v>572</v>
      </c>
      <c r="B58" s="238" t="s">
        <v>573</v>
      </c>
      <c r="C58" s="239">
        <f t="shared" si="24"/>
        <v>26</v>
      </c>
      <c r="D58" s="239">
        <f t="shared" si="24"/>
        <v>993.4</v>
      </c>
    </row>
    <row r="59" spans="1:4" ht="47.25">
      <c r="A59" s="237" t="s">
        <v>574</v>
      </c>
      <c r="B59" s="238" t="s">
        <v>575</v>
      </c>
      <c r="C59" s="239">
        <v>26</v>
      </c>
      <c r="D59" s="239">
        <v>993.4</v>
      </c>
    </row>
    <row r="60" spans="1:4" ht="94.5">
      <c r="A60" s="234" t="s">
        <v>576</v>
      </c>
      <c r="B60" s="235" t="s">
        <v>577</v>
      </c>
      <c r="C60" s="236">
        <f aca="true" t="shared" si="25" ref="C60:D61">C61</f>
        <v>2221.4</v>
      </c>
      <c r="D60" s="236">
        <f t="shared" si="25"/>
        <v>2432.9</v>
      </c>
    </row>
    <row r="61" spans="1:4" ht="78.75">
      <c r="A61" s="237" t="s">
        <v>578</v>
      </c>
      <c r="B61" s="238" t="s">
        <v>579</v>
      </c>
      <c r="C61" s="239">
        <f t="shared" si="25"/>
        <v>2221.4</v>
      </c>
      <c r="D61" s="239">
        <f t="shared" si="25"/>
        <v>2432.9</v>
      </c>
    </row>
    <row r="62" spans="1:4" ht="78.75">
      <c r="A62" s="237" t="s">
        <v>580</v>
      </c>
      <c r="B62" s="238" t="s">
        <v>581</v>
      </c>
      <c r="C62" s="239">
        <v>2221.4</v>
      </c>
      <c r="D62" s="239">
        <v>2432.9</v>
      </c>
    </row>
    <row r="63" spans="1:4" ht="31.5">
      <c r="A63" s="234" t="s">
        <v>582</v>
      </c>
      <c r="B63" s="235" t="s">
        <v>583</v>
      </c>
      <c r="C63" s="236">
        <f aca="true" t="shared" si="26" ref="C63:D63">C64</f>
        <v>241.8</v>
      </c>
      <c r="D63" s="236">
        <f t="shared" si="26"/>
        <v>229.29999999999995</v>
      </c>
    </row>
    <row r="64" spans="1:4" ht="12.75">
      <c r="A64" s="234" t="s">
        <v>584</v>
      </c>
      <c r="B64" s="235" t="s">
        <v>585</v>
      </c>
      <c r="C64" s="236">
        <f aca="true" t="shared" si="27" ref="C64:D64">SUM(C65:C67)</f>
        <v>241.8</v>
      </c>
      <c r="D64" s="236">
        <f t="shared" si="27"/>
        <v>229.29999999999995</v>
      </c>
    </row>
    <row r="65" spans="1:4" ht="31.5">
      <c r="A65" s="243" t="s">
        <v>586</v>
      </c>
      <c r="B65" s="244" t="s">
        <v>587</v>
      </c>
      <c r="C65" s="239">
        <v>69.9</v>
      </c>
      <c r="D65" s="239">
        <v>112.9</v>
      </c>
    </row>
    <row r="66" spans="1:4" ht="12.75">
      <c r="A66" s="243" t="s">
        <v>588</v>
      </c>
      <c r="B66" s="244" t="s">
        <v>589</v>
      </c>
      <c r="C66" s="239">
        <v>166.9</v>
      </c>
      <c r="D66" s="239">
        <v>365.5</v>
      </c>
    </row>
    <row r="67" spans="1:4" ht="12.75">
      <c r="A67" s="243" t="s">
        <v>590</v>
      </c>
      <c r="B67" s="244" t="s">
        <v>591</v>
      </c>
      <c r="C67" s="239">
        <f>C68+C69</f>
        <v>5</v>
      </c>
      <c r="D67" s="239">
        <f aca="true" t="shared" si="28" ref="D67">D68+D69</f>
        <v>-249.10000000000002</v>
      </c>
    </row>
    <row r="68" spans="1:4" ht="12.75">
      <c r="A68" s="243" t="s">
        <v>592</v>
      </c>
      <c r="B68" s="244" t="s">
        <v>593</v>
      </c>
      <c r="C68" s="239">
        <v>3.9</v>
      </c>
      <c r="D68" s="239">
        <v>-250.3</v>
      </c>
    </row>
    <row r="69" spans="1:4" ht="12.75">
      <c r="A69" s="243" t="s">
        <v>594</v>
      </c>
      <c r="B69" s="244" t="s">
        <v>595</v>
      </c>
      <c r="C69" s="239">
        <v>1.1</v>
      </c>
      <c r="D69" s="239">
        <v>1.2</v>
      </c>
    </row>
    <row r="70" spans="1:4" s="246" customFormat="1" ht="31.5">
      <c r="A70" s="245" t="s">
        <v>596</v>
      </c>
      <c r="B70" s="264" t="s">
        <v>597</v>
      </c>
      <c r="C70" s="236">
        <f>C71</f>
        <v>4753.5</v>
      </c>
      <c r="D70" s="236">
        <f>D71</f>
        <v>4768.3</v>
      </c>
    </row>
    <row r="71" spans="1:4" ht="12.75">
      <c r="A71" s="245" t="s">
        <v>598</v>
      </c>
      <c r="B71" s="264" t="s">
        <v>599</v>
      </c>
      <c r="C71" s="236">
        <f>C72</f>
        <v>4753.5</v>
      </c>
      <c r="D71" s="236">
        <f aca="true" t="shared" si="29" ref="D71:D72">D72</f>
        <v>4768.3</v>
      </c>
    </row>
    <row r="72" spans="1:4" ht="12.75">
      <c r="A72" s="245" t="s">
        <v>600</v>
      </c>
      <c r="B72" s="264" t="s">
        <v>601</v>
      </c>
      <c r="C72" s="236">
        <f>C73</f>
        <v>4753.5</v>
      </c>
      <c r="D72" s="236">
        <f t="shared" si="29"/>
        <v>4768.3</v>
      </c>
    </row>
    <row r="73" spans="1:4" ht="31.5">
      <c r="A73" s="243" t="s">
        <v>602</v>
      </c>
      <c r="B73" s="244" t="s">
        <v>603</v>
      </c>
      <c r="C73" s="239">
        <v>4753.5</v>
      </c>
      <c r="D73" s="239">
        <v>4768.3</v>
      </c>
    </row>
    <row r="74" spans="1:4" ht="31.5">
      <c r="A74" s="234" t="s">
        <v>604</v>
      </c>
      <c r="B74" s="235" t="s">
        <v>605</v>
      </c>
      <c r="C74" s="236">
        <f aca="true" t="shared" si="30" ref="C74:D74">C75+C80</f>
        <v>26053.4</v>
      </c>
      <c r="D74" s="236">
        <f t="shared" si="30"/>
        <v>23807.699999999997</v>
      </c>
    </row>
    <row r="75" spans="1:4" ht="31.5">
      <c r="A75" s="234" t="s">
        <v>606</v>
      </c>
      <c r="B75" s="235" t="s">
        <v>607</v>
      </c>
      <c r="C75" s="236">
        <f>C76+C78</f>
        <v>1526.2</v>
      </c>
      <c r="D75" s="236">
        <f aca="true" t="shared" si="31" ref="D75">D76+D78</f>
        <v>5004.4</v>
      </c>
    </row>
    <row r="76" spans="1:4" ht="31.5">
      <c r="A76" s="237" t="s">
        <v>608</v>
      </c>
      <c r="B76" s="238" t="s">
        <v>609</v>
      </c>
      <c r="C76" s="239">
        <f aca="true" t="shared" si="32" ref="C76:D76">C77</f>
        <v>1446.2</v>
      </c>
      <c r="D76" s="239">
        <f t="shared" si="32"/>
        <v>4924.4</v>
      </c>
    </row>
    <row r="77" spans="1:4" ht="47.25">
      <c r="A77" s="237" t="s">
        <v>610</v>
      </c>
      <c r="B77" s="238" t="s">
        <v>611</v>
      </c>
      <c r="C77" s="239">
        <v>1446.2</v>
      </c>
      <c r="D77" s="239">
        <v>4924.4</v>
      </c>
    </row>
    <row r="78" spans="1:4" ht="47.25">
      <c r="A78" s="237" t="s">
        <v>612</v>
      </c>
      <c r="B78" s="238" t="s">
        <v>613</v>
      </c>
      <c r="C78" s="239">
        <f>C79</f>
        <v>80</v>
      </c>
      <c r="D78" s="239">
        <f aca="true" t="shared" si="33" ref="D78">D79</f>
        <v>80</v>
      </c>
    </row>
    <row r="79" spans="1:4" ht="63">
      <c r="A79" s="237" t="s">
        <v>614</v>
      </c>
      <c r="B79" s="238" t="s">
        <v>615</v>
      </c>
      <c r="C79" s="239">
        <v>80</v>
      </c>
      <c r="D79" s="239">
        <v>80</v>
      </c>
    </row>
    <row r="80" spans="1:4" ht="31.5">
      <c r="A80" s="234" t="s">
        <v>616</v>
      </c>
      <c r="B80" s="235" t="s">
        <v>617</v>
      </c>
      <c r="C80" s="236">
        <f aca="true" t="shared" si="34" ref="C80:D80">C81</f>
        <v>24527.2</v>
      </c>
      <c r="D80" s="236">
        <f t="shared" si="34"/>
        <v>18803.3</v>
      </c>
    </row>
    <row r="81" spans="1:4" ht="47.25">
      <c r="A81" s="237" t="s">
        <v>618</v>
      </c>
      <c r="B81" s="238" t="s">
        <v>619</v>
      </c>
      <c r="C81" s="239">
        <f>11504.5+14000-80-897.3</f>
        <v>24527.2</v>
      </c>
      <c r="D81" s="239">
        <v>18803.3</v>
      </c>
    </row>
    <row r="82" spans="1:4" ht="12.75">
      <c r="A82" s="234" t="s">
        <v>620</v>
      </c>
      <c r="B82" s="235" t="s">
        <v>621</v>
      </c>
      <c r="C82" s="236">
        <f>C83+C108+C121+C115+C110</f>
        <v>5905.7</v>
      </c>
      <c r="D82" s="236">
        <f aca="true" t="shared" si="35" ref="D82">D83+D108+D121+D115+D110</f>
        <v>6737.300000000001</v>
      </c>
    </row>
    <row r="83" spans="1:4" ht="47.25">
      <c r="A83" s="234" t="s">
        <v>622</v>
      </c>
      <c r="B83" s="235" t="s">
        <v>623</v>
      </c>
      <c r="C83" s="236">
        <f>C98+C100+C106+C84+C86+C88+C91+C102+C104+C96+C94</f>
        <v>866.7</v>
      </c>
      <c r="D83" s="236">
        <f aca="true" t="shared" si="36" ref="D83">D98+D100+D106+D84+D86+D88+D91+D102+D104+D96+D94</f>
        <v>1735.8</v>
      </c>
    </row>
    <row r="84" spans="1:4" ht="63">
      <c r="A84" s="247" t="s">
        <v>624</v>
      </c>
      <c r="B84" s="238" t="s">
        <v>625</v>
      </c>
      <c r="C84" s="239">
        <f aca="true" t="shared" si="37" ref="C84:D84">C85</f>
        <v>18.4</v>
      </c>
      <c r="D84" s="239">
        <f t="shared" si="37"/>
        <v>32.4</v>
      </c>
    </row>
    <row r="85" spans="1:4" ht="78.75">
      <c r="A85" s="237" t="s">
        <v>626</v>
      </c>
      <c r="B85" s="238" t="s">
        <v>627</v>
      </c>
      <c r="C85" s="239">
        <f>2.4+16</f>
        <v>18.4</v>
      </c>
      <c r="D85" s="239">
        <v>32.4</v>
      </c>
    </row>
    <row r="86" spans="1:4" ht="78.75">
      <c r="A86" s="237" t="s">
        <v>628</v>
      </c>
      <c r="B86" s="238" t="s">
        <v>629</v>
      </c>
      <c r="C86" s="239">
        <f aca="true" t="shared" si="38" ref="C86:D86">C87</f>
        <v>14.5</v>
      </c>
      <c r="D86" s="239">
        <f t="shared" si="38"/>
        <v>41.8</v>
      </c>
    </row>
    <row r="87" spans="1:4" ht="94.5">
      <c r="A87" s="237" t="s">
        <v>630</v>
      </c>
      <c r="B87" s="238" t="s">
        <v>631</v>
      </c>
      <c r="C87" s="239">
        <f>0.5+4+10</f>
        <v>14.5</v>
      </c>
      <c r="D87" s="239">
        <v>41.8</v>
      </c>
    </row>
    <row r="88" spans="1:4" ht="63">
      <c r="A88" s="237" t="s">
        <v>632</v>
      </c>
      <c r="B88" s="238" t="s">
        <v>633</v>
      </c>
      <c r="C88" s="239">
        <f>C89+C90</f>
        <v>66.5</v>
      </c>
      <c r="D88" s="239">
        <f aca="true" t="shared" si="39" ref="D88">D89+D90</f>
        <v>101.4</v>
      </c>
    </row>
    <row r="89" spans="1:4" ht="78.75">
      <c r="A89" s="237" t="s">
        <v>634</v>
      </c>
      <c r="B89" s="238" t="s">
        <v>635</v>
      </c>
      <c r="C89" s="239">
        <f>0+2.3+20+3.1+0.8</f>
        <v>26.200000000000003</v>
      </c>
      <c r="D89" s="239">
        <v>60.8</v>
      </c>
    </row>
    <row r="90" spans="1:4" ht="78.75">
      <c r="A90" s="237" t="s">
        <v>636</v>
      </c>
      <c r="B90" s="238" t="s">
        <v>637</v>
      </c>
      <c r="C90" s="239">
        <v>40.3</v>
      </c>
      <c r="D90" s="239">
        <v>40.6</v>
      </c>
    </row>
    <row r="91" spans="1:4" ht="63">
      <c r="A91" s="237" t="s">
        <v>638</v>
      </c>
      <c r="B91" s="238" t="s">
        <v>639</v>
      </c>
      <c r="C91" s="239">
        <f>C92+C93</f>
        <v>7.5</v>
      </c>
      <c r="D91" s="239">
        <f aca="true" t="shared" si="40" ref="D91">D92+D93</f>
        <v>290</v>
      </c>
    </row>
    <row r="92" spans="1:4" ht="94.5">
      <c r="A92" s="237" t="s">
        <v>640</v>
      </c>
      <c r="B92" s="238" t="s">
        <v>641</v>
      </c>
      <c r="C92" s="239">
        <v>2.5</v>
      </c>
      <c r="D92" s="239">
        <v>285</v>
      </c>
    </row>
    <row r="93" spans="1:4" ht="78.75">
      <c r="A93" s="237" t="s">
        <v>642</v>
      </c>
      <c r="B93" s="238" t="s">
        <v>643</v>
      </c>
      <c r="C93" s="239">
        <v>5</v>
      </c>
      <c r="D93" s="239">
        <v>5</v>
      </c>
    </row>
    <row r="94" spans="1:4" ht="63">
      <c r="A94" s="237" t="s">
        <v>644</v>
      </c>
      <c r="B94" s="238" t="s">
        <v>645</v>
      </c>
      <c r="C94" s="239">
        <f>C95</f>
        <v>2</v>
      </c>
      <c r="D94" s="239">
        <f aca="true" t="shared" si="41" ref="D94">D95</f>
        <v>2</v>
      </c>
    </row>
    <row r="95" spans="1:4" ht="94.5">
      <c r="A95" s="237" t="s">
        <v>646</v>
      </c>
      <c r="B95" s="238" t="s">
        <v>647</v>
      </c>
      <c r="C95" s="239">
        <v>2</v>
      </c>
      <c r="D95" s="239">
        <v>2</v>
      </c>
    </row>
    <row r="96" spans="1:4" ht="63">
      <c r="A96" s="237" t="s">
        <v>648</v>
      </c>
      <c r="B96" s="238" t="s">
        <v>649</v>
      </c>
      <c r="C96" s="239">
        <f aca="true" t="shared" si="42" ref="C96:D96">C97</f>
        <v>5.2</v>
      </c>
      <c r="D96" s="239">
        <f t="shared" si="42"/>
        <v>5.5</v>
      </c>
    </row>
    <row r="97" spans="1:4" ht="78.75">
      <c r="A97" s="237" t="s">
        <v>650</v>
      </c>
      <c r="B97" s="238" t="s">
        <v>651</v>
      </c>
      <c r="C97" s="239">
        <v>5.2</v>
      </c>
      <c r="D97" s="239">
        <v>5.5</v>
      </c>
    </row>
    <row r="98" spans="1:4" ht="78.75">
      <c r="A98" s="237" t="s">
        <v>652</v>
      </c>
      <c r="B98" s="238" t="s">
        <v>653</v>
      </c>
      <c r="C98" s="239">
        <f aca="true" t="shared" si="43" ref="C98:D98">C99</f>
        <v>157</v>
      </c>
      <c r="D98" s="239">
        <f t="shared" si="43"/>
        <v>62.2</v>
      </c>
    </row>
    <row r="99" spans="1:4" ht="94.5">
      <c r="A99" s="237" t="s">
        <v>654</v>
      </c>
      <c r="B99" s="238" t="s">
        <v>655</v>
      </c>
      <c r="C99" s="239">
        <f>155.6+1.4</f>
        <v>157</v>
      </c>
      <c r="D99" s="239">
        <v>62.2</v>
      </c>
    </row>
    <row r="100" spans="1:4" ht="63">
      <c r="A100" s="247" t="s">
        <v>656</v>
      </c>
      <c r="B100" s="238" t="s">
        <v>657</v>
      </c>
      <c r="C100" s="239">
        <f aca="true" t="shared" si="44" ref="C100:D100">C101</f>
        <v>18.1</v>
      </c>
      <c r="D100" s="239">
        <f t="shared" si="44"/>
        <v>48.4</v>
      </c>
    </row>
    <row r="101" spans="1:4" ht="126">
      <c r="A101" s="237" t="s">
        <v>658</v>
      </c>
      <c r="B101" s="238" t="s">
        <v>659</v>
      </c>
      <c r="C101" s="239">
        <f>0.5+2.2+15.4</f>
        <v>18.1</v>
      </c>
      <c r="D101" s="239">
        <v>48.4</v>
      </c>
    </row>
    <row r="102" spans="1:4" ht="63">
      <c r="A102" s="237" t="s">
        <v>660</v>
      </c>
      <c r="B102" s="238" t="s">
        <v>661</v>
      </c>
      <c r="C102" s="239">
        <f aca="true" t="shared" si="45" ref="C102:D102">C103</f>
        <v>11.6</v>
      </c>
      <c r="D102" s="239">
        <f t="shared" si="45"/>
        <v>33.2</v>
      </c>
    </row>
    <row r="103" spans="1:4" ht="94.5">
      <c r="A103" s="237" t="s">
        <v>662</v>
      </c>
      <c r="B103" s="238" t="s">
        <v>663</v>
      </c>
      <c r="C103" s="239">
        <f>8.1+3+0.5</f>
        <v>11.6</v>
      </c>
      <c r="D103" s="239">
        <v>33.2</v>
      </c>
    </row>
    <row r="104" spans="1:4" ht="63">
      <c r="A104" s="237" t="s">
        <v>664</v>
      </c>
      <c r="B104" s="238" t="s">
        <v>665</v>
      </c>
      <c r="C104" s="239">
        <f aca="true" t="shared" si="46" ref="C104:D104">C105</f>
        <v>415.4</v>
      </c>
      <c r="D104" s="239">
        <f t="shared" si="46"/>
        <v>421</v>
      </c>
    </row>
    <row r="105" spans="1:4" ht="78.75">
      <c r="A105" s="237" t="s">
        <v>666</v>
      </c>
      <c r="B105" s="238" t="s">
        <v>667</v>
      </c>
      <c r="C105" s="239">
        <f>7.5+10+323.7+3.2+1+60+10</f>
        <v>415.4</v>
      </c>
      <c r="D105" s="239">
        <v>421</v>
      </c>
    </row>
    <row r="106" spans="1:4" ht="63">
      <c r="A106" s="237" t="s">
        <v>668</v>
      </c>
      <c r="B106" s="238" t="s">
        <v>669</v>
      </c>
      <c r="C106" s="239">
        <f aca="true" t="shared" si="47" ref="C106:D106">C107</f>
        <v>150.5</v>
      </c>
      <c r="D106" s="239">
        <f t="shared" si="47"/>
        <v>697.9</v>
      </c>
    </row>
    <row r="107" spans="1:4" ht="94.5">
      <c r="A107" s="237" t="s">
        <v>670</v>
      </c>
      <c r="B107" s="238" t="s">
        <v>671</v>
      </c>
      <c r="C107" s="239">
        <f>1+4.5+15+1+10.3+118.7</f>
        <v>150.5</v>
      </c>
      <c r="D107" s="239">
        <v>697.9</v>
      </c>
    </row>
    <row r="108" spans="1:4" ht="47.25">
      <c r="A108" s="234" t="s">
        <v>672</v>
      </c>
      <c r="B108" s="235" t="s">
        <v>673</v>
      </c>
      <c r="C108" s="236">
        <f aca="true" t="shared" si="48" ref="C108:D108">C109</f>
        <v>87.9</v>
      </c>
      <c r="D108" s="236">
        <f t="shared" si="48"/>
        <v>256.4</v>
      </c>
    </row>
    <row r="109" spans="1:4" ht="47.25">
      <c r="A109" s="237" t="s">
        <v>674</v>
      </c>
      <c r="B109" s="238" t="s">
        <v>675</v>
      </c>
      <c r="C109" s="239">
        <v>87.9</v>
      </c>
      <c r="D109" s="239">
        <v>256.4</v>
      </c>
    </row>
    <row r="110" spans="1:4" ht="126">
      <c r="A110" s="234" t="s">
        <v>676</v>
      </c>
      <c r="B110" s="235" t="s">
        <v>677</v>
      </c>
      <c r="C110" s="236">
        <f>C111+C113</f>
        <v>754.5</v>
      </c>
      <c r="D110" s="236">
        <f aca="true" t="shared" si="49" ref="D110">D111+D113</f>
        <v>1592.1</v>
      </c>
    </row>
    <row r="111" spans="1:4" ht="63">
      <c r="A111" s="237" t="s">
        <v>678</v>
      </c>
      <c r="B111" s="238" t="s">
        <v>679</v>
      </c>
      <c r="C111" s="239">
        <f>C112</f>
        <v>182.5</v>
      </c>
      <c r="D111" s="239">
        <f aca="true" t="shared" si="50" ref="D111">D112</f>
        <v>886.9</v>
      </c>
    </row>
    <row r="112" spans="1:4" ht="94.5">
      <c r="A112" s="237" t="s">
        <v>680</v>
      </c>
      <c r="B112" s="238" t="s">
        <v>681</v>
      </c>
      <c r="C112" s="239">
        <f>181.3+1.2</f>
        <v>182.5</v>
      </c>
      <c r="D112" s="239">
        <v>886.9</v>
      </c>
    </row>
    <row r="113" spans="1:4" ht="94.5">
      <c r="A113" s="237" t="s">
        <v>682</v>
      </c>
      <c r="B113" s="238" t="s">
        <v>683</v>
      </c>
      <c r="C113" s="239">
        <f>C114</f>
        <v>572</v>
      </c>
      <c r="D113" s="239">
        <f aca="true" t="shared" si="51" ref="D113">D114</f>
        <v>705.2</v>
      </c>
    </row>
    <row r="114" spans="1:4" ht="78.75">
      <c r="A114" s="237" t="s">
        <v>684</v>
      </c>
      <c r="B114" s="238" t="s">
        <v>685</v>
      </c>
      <c r="C114" s="239">
        <f>492+80</f>
        <v>572</v>
      </c>
      <c r="D114" s="239">
        <v>705.2</v>
      </c>
    </row>
    <row r="115" spans="1:4" ht="31.5">
      <c r="A115" s="234" t="s">
        <v>686</v>
      </c>
      <c r="B115" s="235" t="s">
        <v>687</v>
      </c>
      <c r="C115" s="236">
        <f>C118+C116</f>
        <v>548</v>
      </c>
      <c r="D115" s="236">
        <f aca="true" t="shared" si="52" ref="D115">D118+D116</f>
        <v>-498.40000000000003</v>
      </c>
    </row>
    <row r="116" spans="1:4" ht="94.5">
      <c r="A116" s="237" t="s">
        <v>688</v>
      </c>
      <c r="B116" s="238" t="s">
        <v>689</v>
      </c>
      <c r="C116" s="239">
        <f>C117</f>
        <v>18.3</v>
      </c>
      <c r="D116" s="239">
        <f aca="true" t="shared" si="53" ref="D116">D117</f>
        <v>18.3</v>
      </c>
    </row>
    <row r="117" spans="1:4" ht="47.25">
      <c r="A117" s="237" t="s">
        <v>690</v>
      </c>
      <c r="B117" s="238" t="s">
        <v>691</v>
      </c>
      <c r="C117" s="239">
        <v>18.3</v>
      </c>
      <c r="D117" s="239">
        <v>18.3</v>
      </c>
    </row>
    <row r="118" spans="1:4" ht="78.75">
      <c r="A118" s="237" t="s">
        <v>692</v>
      </c>
      <c r="B118" s="238" t="s">
        <v>693</v>
      </c>
      <c r="C118" s="239">
        <f>C120+C119</f>
        <v>529.7</v>
      </c>
      <c r="D118" s="239">
        <f aca="true" t="shared" si="54" ref="D118">D120+D119</f>
        <v>-516.7</v>
      </c>
    </row>
    <row r="119" spans="1:4" ht="63">
      <c r="A119" s="237" t="s">
        <v>694</v>
      </c>
      <c r="B119" s="238" t="s">
        <v>695</v>
      </c>
      <c r="C119" s="239">
        <f>1+257.4+11+194.3</f>
        <v>463.7</v>
      </c>
      <c r="D119" s="239">
        <v>-573.7</v>
      </c>
    </row>
    <row r="120" spans="1:4" ht="78.75">
      <c r="A120" s="237" t="s">
        <v>696</v>
      </c>
      <c r="B120" s="238" t="s">
        <v>697</v>
      </c>
      <c r="C120" s="239">
        <v>66</v>
      </c>
      <c r="D120" s="239">
        <v>57</v>
      </c>
    </row>
    <row r="121" spans="1:4" ht="12.75">
      <c r="A121" s="234" t="s">
        <v>698</v>
      </c>
      <c r="B121" s="235" t="s">
        <v>699</v>
      </c>
      <c r="C121" s="236">
        <f aca="true" t="shared" si="55" ref="C121:D122">C122</f>
        <v>3648.6</v>
      </c>
      <c r="D121" s="236">
        <f t="shared" si="55"/>
        <v>3651.4</v>
      </c>
    </row>
    <row r="122" spans="1:4" ht="31.5">
      <c r="A122" s="237" t="s">
        <v>700</v>
      </c>
      <c r="B122" s="238" t="s">
        <v>701</v>
      </c>
      <c r="C122" s="239">
        <f t="shared" si="55"/>
        <v>3648.6</v>
      </c>
      <c r="D122" s="239">
        <f t="shared" si="55"/>
        <v>3651.4</v>
      </c>
    </row>
    <row r="123" spans="1:4" ht="63">
      <c r="A123" s="237" t="s">
        <v>702</v>
      </c>
      <c r="B123" s="238" t="s">
        <v>703</v>
      </c>
      <c r="C123" s="239">
        <f>934.2+2028.5+685.9</f>
        <v>3648.6</v>
      </c>
      <c r="D123" s="239">
        <v>3651.4</v>
      </c>
    </row>
    <row r="124" spans="1:4" ht="12.75">
      <c r="A124" s="234" t="s">
        <v>704</v>
      </c>
      <c r="B124" s="235" t="s">
        <v>705</v>
      </c>
      <c r="C124" s="236">
        <f>C127+C129+C125</f>
        <v>192.9</v>
      </c>
      <c r="D124" s="236">
        <f>D127+D129+D125</f>
        <v>219.9</v>
      </c>
    </row>
    <row r="125" spans="1:4" ht="12.75">
      <c r="A125" s="234" t="s">
        <v>706</v>
      </c>
      <c r="B125" s="235" t="s">
        <v>707</v>
      </c>
      <c r="C125" s="236">
        <f>C126</f>
        <v>0</v>
      </c>
      <c r="D125" s="236">
        <f>D126</f>
        <v>27</v>
      </c>
    </row>
    <row r="126" spans="1:4" ht="31.5">
      <c r="A126" s="237" t="s">
        <v>708</v>
      </c>
      <c r="B126" s="238" t="s">
        <v>709</v>
      </c>
      <c r="C126" s="239">
        <v>0</v>
      </c>
      <c r="D126" s="239">
        <v>27</v>
      </c>
    </row>
    <row r="127" spans="1:4" ht="12.75">
      <c r="A127" s="234" t="s">
        <v>710</v>
      </c>
      <c r="B127" s="235" t="s">
        <v>711</v>
      </c>
      <c r="C127" s="236">
        <f>C128</f>
        <v>49.6</v>
      </c>
      <c r="D127" s="236">
        <f aca="true" t="shared" si="56" ref="D127">D128</f>
        <v>49.6</v>
      </c>
    </row>
    <row r="128" spans="1:4" ht="12.75">
      <c r="A128" s="237" t="s">
        <v>712</v>
      </c>
      <c r="B128" s="238" t="s">
        <v>713</v>
      </c>
      <c r="C128" s="239">
        <v>49.6</v>
      </c>
      <c r="D128" s="239">
        <v>49.6</v>
      </c>
    </row>
    <row r="129" spans="1:4" ht="12.75">
      <c r="A129" s="234" t="s">
        <v>714</v>
      </c>
      <c r="B129" s="235" t="s">
        <v>715</v>
      </c>
      <c r="C129" s="236">
        <f>C130</f>
        <v>143.3</v>
      </c>
      <c r="D129" s="236">
        <f aca="true" t="shared" si="57" ref="D129">D130</f>
        <v>143.3</v>
      </c>
    </row>
    <row r="130" spans="1:4" ht="31.5">
      <c r="A130" s="237" t="s">
        <v>716</v>
      </c>
      <c r="B130" s="238" t="s">
        <v>717</v>
      </c>
      <c r="C130" s="239">
        <v>143.3</v>
      </c>
      <c r="D130" s="239">
        <v>143.3</v>
      </c>
    </row>
    <row r="131" spans="1:4" ht="12.75">
      <c r="A131" s="234" t="s">
        <v>718</v>
      </c>
      <c r="B131" s="235" t="s">
        <v>719</v>
      </c>
      <c r="C131" s="236">
        <f>C132+C185</f>
        <v>545865.7</v>
      </c>
      <c r="D131" s="236">
        <f aca="true" t="shared" si="58" ref="D131">D132+D185</f>
        <v>508807.00000000006</v>
      </c>
    </row>
    <row r="132" spans="1:4" ht="47.25">
      <c r="A132" s="245" t="s">
        <v>720</v>
      </c>
      <c r="B132" s="235" t="s">
        <v>721</v>
      </c>
      <c r="C132" s="236">
        <f>C163+C136+C133+C182</f>
        <v>550324.8999999999</v>
      </c>
      <c r="D132" s="236">
        <f>D163+D136+D133+D182</f>
        <v>514517.30000000005</v>
      </c>
    </row>
    <row r="133" spans="1:4" ht="31.5">
      <c r="A133" s="245" t="s">
        <v>722</v>
      </c>
      <c r="B133" s="235" t="s">
        <v>723</v>
      </c>
      <c r="C133" s="236">
        <f aca="true" t="shared" si="59" ref="C133:D134">C134</f>
        <v>7104</v>
      </c>
      <c r="D133" s="236">
        <f t="shared" si="59"/>
        <v>14063.5</v>
      </c>
    </row>
    <row r="134" spans="1:4" ht="31.5">
      <c r="A134" s="243" t="s">
        <v>724</v>
      </c>
      <c r="B134" s="238" t="s">
        <v>725</v>
      </c>
      <c r="C134" s="239">
        <f t="shared" si="59"/>
        <v>7104</v>
      </c>
      <c r="D134" s="239">
        <f t="shared" si="59"/>
        <v>14063.5</v>
      </c>
    </row>
    <row r="135" spans="1:4" ht="31.5">
      <c r="A135" s="243" t="s">
        <v>726</v>
      </c>
      <c r="B135" s="238" t="s">
        <v>727</v>
      </c>
      <c r="C135" s="239">
        <f>4833+2271</f>
        <v>7104</v>
      </c>
      <c r="D135" s="239">
        <v>14063.5</v>
      </c>
    </row>
    <row r="136" spans="1:4" ht="31.5">
      <c r="A136" s="248" t="s">
        <v>728</v>
      </c>
      <c r="B136" s="249" t="s">
        <v>729</v>
      </c>
      <c r="C136" s="236">
        <f>C153+C139+C151+C147+C145+C149+C137+C143</f>
        <v>170397.69999999998</v>
      </c>
      <c r="D136" s="236">
        <f aca="true" t="shared" si="60" ref="D136">D153+D139+D151+D147+D145+D149+D137+D143</f>
        <v>133181.6</v>
      </c>
    </row>
    <row r="137" spans="1:10" ht="31.5">
      <c r="A137" s="250" t="s">
        <v>730</v>
      </c>
      <c r="B137" s="43" t="s">
        <v>731</v>
      </c>
      <c r="C137" s="239">
        <f>C138</f>
        <v>5456.2</v>
      </c>
      <c r="D137" s="239">
        <f aca="true" t="shared" si="61" ref="D137">D138</f>
        <v>5455.8</v>
      </c>
      <c r="J137" s="305"/>
    </row>
    <row r="138" spans="1:4" ht="47.25">
      <c r="A138" s="250" t="s">
        <v>732</v>
      </c>
      <c r="B138" s="299" t="s">
        <v>733</v>
      </c>
      <c r="C138" s="239">
        <v>5456.2</v>
      </c>
      <c r="D138" s="239">
        <v>5455.8</v>
      </c>
    </row>
    <row r="139" spans="1:4" ht="78.75">
      <c r="A139" s="251" t="s">
        <v>734</v>
      </c>
      <c r="B139" s="299" t="s">
        <v>735</v>
      </c>
      <c r="C139" s="239">
        <f aca="true" t="shared" si="62" ref="C139:D139">C140+C141+C142</f>
        <v>54192.399999999994</v>
      </c>
      <c r="D139" s="239">
        <f t="shared" si="62"/>
        <v>50839.49999999999</v>
      </c>
    </row>
    <row r="140" spans="1:4" ht="31.5">
      <c r="A140" s="251" t="s">
        <v>736</v>
      </c>
      <c r="B140" s="238" t="s">
        <v>737</v>
      </c>
      <c r="C140" s="239">
        <f>39757.4+6623.7</f>
        <v>46381.1</v>
      </c>
      <c r="D140" s="239">
        <v>44367.1</v>
      </c>
    </row>
    <row r="141" spans="1:4" ht="47.25">
      <c r="A141" s="251" t="s">
        <v>736</v>
      </c>
      <c r="B141" s="238" t="s">
        <v>738</v>
      </c>
      <c r="C141" s="239">
        <v>5279.2</v>
      </c>
      <c r="D141" s="239">
        <v>5279.2</v>
      </c>
    </row>
    <row r="142" spans="1:4" ht="47.25">
      <c r="A142" s="251" t="s">
        <v>736</v>
      </c>
      <c r="B142" s="238" t="s">
        <v>739</v>
      </c>
      <c r="C142" s="239">
        <v>2532.1</v>
      </c>
      <c r="D142" s="239">
        <v>1193.2</v>
      </c>
    </row>
    <row r="143" spans="1:4" ht="63">
      <c r="A143" s="251" t="s">
        <v>740</v>
      </c>
      <c r="B143" s="238" t="s">
        <v>741</v>
      </c>
      <c r="C143" s="239">
        <f>C144</f>
        <v>2478.5</v>
      </c>
      <c r="D143" s="239">
        <f aca="true" t="shared" si="63" ref="D143">D144</f>
        <v>2478.5</v>
      </c>
    </row>
    <row r="144" spans="1:4" ht="78.75">
      <c r="A144" s="251" t="s">
        <v>742</v>
      </c>
      <c r="B144" s="238" t="s">
        <v>743</v>
      </c>
      <c r="C144" s="239">
        <v>2478.5</v>
      </c>
      <c r="D144" s="239">
        <v>2478.5</v>
      </c>
    </row>
    <row r="145" spans="1:4" ht="63">
      <c r="A145" s="251" t="s">
        <v>744</v>
      </c>
      <c r="B145" s="238" t="s">
        <v>745</v>
      </c>
      <c r="C145" s="239">
        <f>C146</f>
        <v>280.9</v>
      </c>
      <c r="D145" s="239">
        <f aca="true" t="shared" si="64" ref="D145">D146</f>
        <v>280.9</v>
      </c>
    </row>
    <row r="146" spans="1:4" ht="78.75">
      <c r="A146" s="251" t="s">
        <v>746</v>
      </c>
      <c r="B146" s="238" t="s">
        <v>747</v>
      </c>
      <c r="C146" s="239">
        <v>280.9</v>
      </c>
      <c r="D146" s="239">
        <v>280.9</v>
      </c>
    </row>
    <row r="147" spans="1:4" ht="63">
      <c r="A147" s="251" t="s">
        <v>748</v>
      </c>
      <c r="B147" s="238" t="s">
        <v>749</v>
      </c>
      <c r="C147" s="239">
        <f aca="true" t="shared" si="65" ref="C147:D147">C148</f>
        <v>20595.9</v>
      </c>
      <c r="D147" s="239">
        <f t="shared" si="65"/>
        <v>18264.8</v>
      </c>
    </row>
    <row r="148" spans="1:4" ht="63">
      <c r="A148" s="251" t="s">
        <v>750</v>
      </c>
      <c r="B148" s="238" t="s">
        <v>751</v>
      </c>
      <c r="C148" s="239">
        <v>20595.9</v>
      </c>
      <c r="D148" s="239">
        <v>18264.8</v>
      </c>
    </row>
    <row r="149" spans="1:4" ht="31.5">
      <c r="A149" s="251" t="s">
        <v>752</v>
      </c>
      <c r="B149" s="238" t="s">
        <v>753</v>
      </c>
      <c r="C149" s="239">
        <f>C150</f>
        <v>6694.6</v>
      </c>
      <c r="D149" s="239">
        <f aca="true" t="shared" si="66" ref="D149">D150</f>
        <v>6694.6</v>
      </c>
    </row>
    <row r="150" spans="1:4" ht="31.5">
      <c r="A150" s="251" t="s">
        <v>754</v>
      </c>
      <c r="B150" s="238" t="s">
        <v>755</v>
      </c>
      <c r="C150" s="239">
        <v>6694.6</v>
      </c>
      <c r="D150" s="239">
        <v>6694.6</v>
      </c>
    </row>
    <row r="151" spans="1:4" ht="31.5">
      <c r="A151" s="252" t="s">
        <v>756</v>
      </c>
      <c r="B151" s="253" t="s">
        <v>757</v>
      </c>
      <c r="C151" s="239">
        <f aca="true" t="shared" si="67" ref="C151">C152</f>
        <v>14453.5</v>
      </c>
      <c r="D151" s="239">
        <f>D152</f>
        <v>14443</v>
      </c>
    </row>
    <row r="152" spans="1:4" ht="31.5">
      <c r="A152" s="252" t="s">
        <v>758</v>
      </c>
      <c r="B152" s="253" t="s">
        <v>759</v>
      </c>
      <c r="C152" s="239">
        <f>12756.2+1697.3</f>
        <v>14453.5</v>
      </c>
      <c r="D152" s="239">
        <v>14443</v>
      </c>
    </row>
    <row r="153" spans="1:4" ht="12.75">
      <c r="A153" s="254" t="s">
        <v>760</v>
      </c>
      <c r="B153" s="255" t="s">
        <v>761</v>
      </c>
      <c r="C153" s="239">
        <f>C154+C155+C157+C158+C159+C160+C156+C161+C162</f>
        <v>66245.7</v>
      </c>
      <c r="D153" s="239">
        <f aca="true" t="shared" si="68" ref="D153">D154+D155+D157+D158+D159+D160+D156+D161+D162</f>
        <v>34724.5</v>
      </c>
    </row>
    <row r="154" spans="1:4" ht="31.5">
      <c r="A154" s="251" t="s">
        <v>762</v>
      </c>
      <c r="B154" s="238" t="s">
        <v>763</v>
      </c>
      <c r="C154" s="239">
        <v>116.7</v>
      </c>
      <c r="D154" s="239">
        <v>116.7</v>
      </c>
    </row>
    <row r="155" spans="1:4" ht="31.5">
      <c r="A155" s="251" t="s">
        <v>762</v>
      </c>
      <c r="B155" s="238" t="s">
        <v>764</v>
      </c>
      <c r="C155" s="239">
        <v>3403</v>
      </c>
      <c r="D155" s="239">
        <v>3403</v>
      </c>
    </row>
    <row r="156" spans="1:4" ht="31.5">
      <c r="A156" s="256" t="s">
        <v>762</v>
      </c>
      <c r="B156" s="253" t="s">
        <v>765</v>
      </c>
      <c r="C156" s="239">
        <f>4416.2-1.8+1481.7</f>
        <v>5896.099999999999</v>
      </c>
      <c r="D156" s="239">
        <v>5888.9</v>
      </c>
    </row>
    <row r="157" spans="1:4" ht="47.25">
      <c r="A157" s="251" t="s">
        <v>762</v>
      </c>
      <c r="B157" s="238" t="s">
        <v>766</v>
      </c>
      <c r="C157" s="239">
        <f>13192.8+1164.3</f>
        <v>14357.099999999999</v>
      </c>
      <c r="D157" s="239">
        <v>14357.1</v>
      </c>
    </row>
    <row r="158" spans="1:4" ht="12.75">
      <c r="A158" s="251" t="s">
        <v>767</v>
      </c>
      <c r="B158" s="257" t="s">
        <v>768</v>
      </c>
      <c r="C158" s="239">
        <v>471.4</v>
      </c>
      <c r="D158" s="239">
        <v>471.4</v>
      </c>
    </row>
    <row r="159" spans="1:4" ht="47.25">
      <c r="A159" s="251" t="s">
        <v>762</v>
      </c>
      <c r="B159" s="238" t="s">
        <v>769</v>
      </c>
      <c r="C159" s="239">
        <f>6513.7+688.8+2659.2</f>
        <v>9861.7</v>
      </c>
      <c r="D159" s="239">
        <v>9861.7</v>
      </c>
    </row>
    <row r="160" spans="1:4" ht="31.5">
      <c r="A160" s="251" t="s">
        <v>762</v>
      </c>
      <c r="B160" s="238" t="s">
        <v>770</v>
      </c>
      <c r="C160" s="239">
        <v>31486</v>
      </c>
      <c r="D160" s="239">
        <v>0</v>
      </c>
    </row>
    <row r="161" spans="1:4" ht="31.5">
      <c r="A161" s="250" t="s">
        <v>762</v>
      </c>
      <c r="B161" s="258" t="s">
        <v>771</v>
      </c>
      <c r="C161" s="239">
        <v>300</v>
      </c>
      <c r="D161" s="239">
        <v>300</v>
      </c>
    </row>
    <row r="162" spans="1:4" ht="63">
      <c r="A162" s="250" t="s">
        <v>762</v>
      </c>
      <c r="B162" s="43" t="s">
        <v>772</v>
      </c>
      <c r="C162" s="239">
        <v>353.7</v>
      </c>
      <c r="D162" s="239">
        <v>325.7</v>
      </c>
    </row>
    <row r="163" spans="1:4" ht="31.5">
      <c r="A163" s="245" t="s">
        <v>773</v>
      </c>
      <c r="B163" s="235" t="s">
        <v>774</v>
      </c>
      <c r="C163" s="236">
        <f>C174+C176+C164+C168+C166+C170+C172</f>
        <v>371535.0999999999</v>
      </c>
      <c r="D163" s="236">
        <f>D174+D176+D164+D168+D166+D170+D172</f>
        <v>365984.10000000003</v>
      </c>
    </row>
    <row r="164" spans="1:4" ht="78.75">
      <c r="A164" s="237" t="s">
        <v>775</v>
      </c>
      <c r="B164" s="238" t="s">
        <v>776</v>
      </c>
      <c r="C164" s="239">
        <f aca="true" t="shared" si="69" ref="C164:D164">C165</f>
        <v>9685.8</v>
      </c>
      <c r="D164" s="239">
        <f t="shared" si="69"/>
        <v>8050</v>
      </c>
    </row>
    <row r="165" spans="1:4" ht="78.75">
      <c r="A165" s="243" t="s">
        <v>777</v>
      </c>
      <c r="B165" s="238" t="s">
        <v>778</v>
      </c>
      <c r="C165" s="239">
        <v>9685.8</v>
      </c>
      <c r="D165" s="239">
        <v>8050</v>
      </c>
    </row>
    <row r="166" spans="1:4" ht="63">
      <c r="A166" s="243" t="s">
        <v>779</v>
      </c>
      <c r="B166" s="238" t="s">
        <v>780</v>
      </c>
      <c r="C166" s="239">
        <f aca="true" t="shared" si="70" ref="C166:D166">C167</f>
        <v>2936.3</v>
      </c>
      <c r="D166" s="239">
        <f t="shared" si="70"/>
        <v>978.7</v>
      </c>
    </row>
    <row r="167" spans="1:4" ht="63">
      <c r="A167" s="243" t="s">
        <v>781</v>
      </c>
      <c r="B167" s="238" t="s">
        <v>782</v>
      </c>
      <c r="C167" s="239">
        <v>2936.3</v>
      </c>
      <c r="D167" s="239">
        <v>978.7</v>
      </c>
    </row>
    <row r="168" spans="1:4" ht="63">
      <c r="A168" s="237" t="s">
        <v>783</v>
      </c>
      <c r="B168" s="238" t="s">
        <v>784</v>
      </c>
      <c r="C168" s="239">
        <f aca="true" t="shared" si="71" ref="C168:D168">C169</f>
        <v>32.2</v>
      </c>
      <c r="D168" s="239">
        <f t="shared" si="71"/>
        <v>32.2</v>
      </c>
    </row>
    <row r="169" spans="1:4" ht="63">
      <c r="A169" s="237" t="s">
        <v>785</v>
      </c>
      <c r="B169" s="238" t="s">
        <v>786</v>
      </c>
      <c r="C169" s="239">
        <v>32.2</v>
      </c>
      <c r="D169" s="239">
        <v>32.2</v>
      </c>
    </row>
    <row r="170" spans="1:4" ht="63">
      <c r="A170" s="237" t="s">
        <v>787</v>
      </c>
      <c r="B170" s="238" t="s">
        <v>788</v>
      </c>
      <c r="C170" s="239">
        <f>C171</f>
        <v>14530.3</v>
      </c>
      <c r="D170" s="239">
        <f aca="true" t="shared" si="72" ref="D170">D171</f>
        <v>14530.3</v>
      </c>
    </row>
    <row r="171" spans="1:4" ht="63">
      <c r="A171" s="237" t="s">
        <v>789</v>
      </c>
      <c r="B171" s="238" t="s">
        <v>790</v>
      </c>
      <c r="C171" s="239">
        <v>14530.3</v>
      </c>
      <c r="D171" s="239">
        <v>14530.3</v>
      </c>
    </row>
    <row r="172" spans="1:4" ht="31.5">
      <c r="A172" s="237" t="s">
        <v>791</v>
      </c>
      <c r="B172" s="238" t="s">
        <v>792</v>
      </c>
      <c r="C172" s="239">
        <f aca="true" t="shared" si="73" ref="C172:D172">C173</f>
        <v>716.3000000000001</v>
      </c>
      <c r="D172" s="239">
        <f t="shared" si="73"/>
        <v>716.3</v>
      </c>
    </row>
    <row r="173" spans="1:4" ht="31.5">
      <c r="A173" s="237" t="s">
        <v>793</v>
      </c>
      <c r="B173" s="238" t="s">
        <v>794</v>
      </c>
      <c r="C173" s="239">
        <f>739.1-22.8</f>
        <v>716.3000000000001</v>
      </c>
      <c r="D173" s="239">
        <v>716.3</v>
      </c>
    </row>
    <row r="174" spans="1:4" ht="31.5">
      <c r="A174" s="237" t="s">
        <v>795</v>
      </c>
      <c r="B174" s="238" t="s">
        <v>796</v>
      </c>
      <c r="C174" s="239">
        <f aca="true" t="shared" si="74" ref="C174:D174">C175</f>
        <v>1392.2</v>
      </c>
      <c r="D174" s="239">
        <f t="shared" si="74"/>
        <v>1392.2</v>
      </c>
    </row>
    <row r="175" spans="1:4" ht="31.5">
      <c r="A175" s="237" t="s">
        <v>797</v>
      </c>
      <c r="B175" s="238" t="s">
        <v>798</v>
      </c>
      <c r="C175" s="239">
        <v>1392.2</v>
      </c>
      <c r="D175" s="239">
        <v>1392.2</v>
      </c>
    </row>
    <row r="176" spans="1:4" s="246" customFormat="1" ht="12.75">
      <c r="A176" s="234" t="s">
        <v>799</v>
      </c>
      <c r="B176" s="235" t="s">
        <v>800</v>
      </c>
      <c r="C176" s="236">
        <f aca="true" t="shared" si="75" ref="C176:D176">SUM(C177:C181)</f>
        <v>342241.99999999994</v>
      </c>
      <c r="D176" s="236">
        <f t="shared" si="75"/>
        <v>340284.4</v>
      </c>
    </row>
    <row r="177" spans="1:4" ht="94.5">
      <c r="A177" s="237" t="s">
        <v>801</v>
      </c>
      <c r="B177" s="238" t="s">
        <v>802</v>
      </c>
      <c r="C177" s="239">
        <f>208042.3+5622.4</f>
        <v>213664.69999999998</v>
      </c>
      <c r="D177" s="239">
        <v>213664.7</v>
      </c>
    </row>
    <row r="178" spans="1:4" ht="63">
      <c r="A178" s="237" t="s">
        <v>801</v>
      </c>
      <c r="B178" s="238" t="s">
        <v>803</v>
      </c>
      <c r="C178" s="239">
        <f>108604.6+3683.4+13397.1</f>
        <v>125685.1</v>
      </c>
      <c r="D178" s="239">
        <v>125685.1</v>
      </c>
    </row>
    <row r="179" spans="1:4" ht="47.25">
      <c r="A179" s="237" t="s">
        <v>801</v>
      </c>
      <c r="B179" s="238" t="s">
        <v>804</v>
      </c>
      <c r="C179" s="239">
        <v>668.1</v>
      </c>
      <c r="D179" s="239">
        <v>668.1</v>
      </c>
    </row>
    <row r="180" spans="1:4" s="259" customFormat="1" ht="63">
      <c r="A180" s="237" t="s">
        <v>801</v>
      </c>
      <c r="B180" s="238" t="s">
        <v>805</v>
      </c>
      <c r="C180" s="239">
        <v>266.5</v>
      </c>
      <c r="D180" s="239">
        <v>266.5</v>
      </c>
    </row>
    <row r="181" spans="1:4" s="259" customFormat="1" ht="78.75">
      <c r="A181" s="237" t="s">
        <v>801</v>
      </c>
      <c r="B181" s="238" t="s">
        <v>806</v>
      </c>
      <c r="C181" s="239">
        <v>1957.6</v>
      </c>
      <c r="D181" s="239">
        <v>0</v>
      </c>
    </row>
    <row r="182" spans="1:4" s="259" customFormat="1" ht="12.75">
      <c r="A182" s="260" t="s">
        <v>807</v>
      </c>
      <c r="B182" s="261" t="s">
        <v>808</v>
      </c>
      <c r="C182" s="236">
        <f>C183</f>
        <v>1288.1</v>
      </c>
      <c r="D182" s="236">
        <f aca="true" t="shared" si="76" ref="D182:D183">D183</f>
        <v>1288.1</v>
      </c>
    </row>
    <row r="183" spans="1:4" s="259" customFormat="1" ht="31.5">
      <c r="A183" s="260" t="s">
        <v>809</v>
      </c>
      <c r="B183" s="261" t="s">
        <v>810</v>
      </c>
      <c r="C183" s="236">
        <f>C184</f>
        <v>1288.1</v>
      </c>
      <c r="D183" s="236">
        <f t="shared" si="76"/>
        <v>1288.1</v>
      </c>
    </row>
    <row r="184" spans="1:4" s="259" customFormat="1" ht="47.25">
      <c r="A184" s="300" t="s">
        <v>811</v>
      </c>
      <c r="B184" s="262" t="s">
        <v>812</v>
      </c>
      <c r="C184" s="239">
        <f>1188.1+100</f>
        <v>1288.1</v>
      </c>
      <c r="D184" s="239">
        <v>1288.1</v>
      </c>
    </row>
    <row r="185" spans="1:4" s="259" customFormat="1" ht="47.25">
      <c r="A185" s="301" t="s">
        <v>813</v>
      </c>
      <c r="B185" s="263" t="s">
        <v>814</v>
      </c>
      <c r="C185" s="236">
        <f>C186</f>
        <v>-4459.2</v>
      </c>
      <c r="D185" s="236">
        <f aca="true" t="shared" si="77" ref="D185">D186</f>
        <v>-5710.3</v>
      </c>
    </row>
    <row r="186" spans="1:4" s="259" customFormat="1" ht="47.25">
      <c r="A186" s="301" t="s">
        <v>815</v>
      </c>
      <c r="B186" s="263" t="s">
        <v>816</v>
      </c>
      <c r="C186" s="236">
        <f>C189</f>
        <v>-4459.2</v>
      </c>
      <c r="D186" s="236">
        <f>SUM(D187:D189)</f>
        <v>-5710.3</v>
      </c>
    </row>
    <row r="187" spans="1:4" s="259" customFormat="1" ht="47.25">
      <c r="A187" s="300" t="s">
        <v>817</v>
      </c>
      <c r="B187" s="262" t="s">
        <v>818</v>
      </c>
      <c r="C187" s="239">
        <v>0</v>
      </c>
      <c r="D187" s="239">
        <v>-243.4</v>
      </c>
    </row>
    <row r="188" spans="1:4" s="259" customFormat="1" ht="63">
      <c r="A188" s="300" t="s">
        <v>819</v>
      </c>
      <c r="B188" s="262" t="s">
        <v>820</v>
      </c>
      <c r="C188" s="239">
        <v>0</v>
      </c>
      <c r="D188" s="239">
        <v>-28.9</v>
      </c>
    </row>
    <row r="189" spans="1:4" s="259" customFormat="1" ht="47.25">
      <c r="A189" s="300" t="s">
        <v>821</v>
      </c>
      <c r="B189" s="262" t="s">
        <v>822</v>
      </c>
      <c r="C189" s="239">
        <v>-4459.2</v>
      </c>
      <c r="D189" s="239">
        <v>-5438</v>
      </c>
    </row>
    <row r="190" spans="1:4" s="259" customFormat="1" ht="12.75">
      <c r="A190" s="234"/>
      <c r="B190" s="264" t="s">
        <v>823</v>
      </c>
      <c r="C190" s="236">
        <f>C9+C131</f>
        <v>973510.6</v>
      </c>
      <c r="D190" s="236">
        <f>D9+D131</f>
        <v>975357.7</v>
      </c>
    </row>
    <row r="191" spans="1:4" s="259" customFormat="1" ht="12.75">
      <c r="A191" s="298"/>
      <c r="B191" s="225"/>
      <c r="C191" s="265"/>
      <c r="D191" s="265"/>
    </row>
    <row r="192" spans="1:4" s="259" customFormat="1" ht="12.75">
      <c r="A192" s="298"/>
      <c r="B192" s="225"/>
      <c r="C192" s="265"/>
      <c r="D192" s="265"/>
    </row>
    <row r="193" spans="1:4" s="259" customFormat="1" ht="12.75">
      <c r="A193" s="298"/>
      <c r="B193" s="225"/>
      <c r="C193" s="265"/>
      <c r="D193" s="265"/>
    </row>
    <row r="194" spans="1:4" s="259" customFormat="1" ht="12.75">
      <c r="A194" s="298"/>
      <c r="B194" s="225"/>
      <c r="C194" s="265"/>
      <c r="D194" s="265"/>
    </row>
    <row r="195" spans="1:4" s="259" customFormat="1" ht="12.75">
      <c r="A195" s="298"/>
      <c r="B195" s="302"/>
      <c r="C195" s="226"/>
      <c r="D195" s="229"/>
    </row>
    <row r="196" spans="1:4" s="259" customFormat="1" ht="12.75">
      <c r="A196" s="298"/>
      <c r="B196" s="225"/>
      <c r="C196" s="266"/>
      <c r="D196" s="266"/>
    </row>
  </sheetData>
  <mergeCells count="4">
    <mergeCell ref="C1:D1"/>
    <mergeCell ref="A2:D2"/>
    <mergeCell ref="B3:D3"/>
    <mergeCell ref="A6:D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view="pageBreakPreview" zoomScale="60" workbookViewId="0" topLeftCell="A1">
      <selection activeCell="B3" sqref="B3:D3"/>
    </sheetView>
  </sheetViews>
  <sheetFormatPr defaultColWidth="9.125" defaultRowHeight="12.75"/>
  <cols>
    <col min="1" max="1" width="10.25390625" style="293" customWidth="1"/>
    <col min="2" max="2" width="67.00390625" style="294" customWidth="1"/>
    <col min="3" max="3" width="28.875" style="268" customWidth="1"/>
    <col min="4" max="4" width="14.75390625" style="295" customWidth="1"/>
    <col min="5" max="5" width="15.75390625" style="268" bestFit="1" customWidth="1"/>
    <col min="6" max="6" width="20.75390625" style="268" customWidth="1"/>
    <col min="7" max="16384" width="9.125" style="268" customWidth="1"/>
  </cols>
  <sheetData>
    <row r="1" spans="1:4" ht="12.75">
      <c r="A1" s="267"/>
      <c r="B1" s="321" t="s">
        <v>824</v>
      </c>
      <c r="C1" s="321"/>
      <c r="D1" s="321"/>
    </row>
    <row r="2" spans="1:4" ht="12.75">
      <c r="A2" s="267"/>
      <c r="B2" s="321" t="s">
        <v>472</v>
      </c>
      <c r="C2" s="321"/>
      <c r="D2" s="321"/>
    </row>
    <row r="3" spans="1:4" ht="12.75">
      <c r="A3" s="267"/>
      <c r="B3" s="321" t="s">
        <v>1091</v>
      </c>
      <c r="C3" s="321"/>
      <c r="D3" s="321"/>
    </row>
    <row r="5" spans="1:4" ht="12.75">
      <c r="A5" s="322" t="s">
        <v>1089</v>
      </c>
      <c r="B5" s="322"/>
      <c r="C5" s="322"/>
      <c r="D5" s="322"/>
    </row>
    <row r="7" spans="1:4" ht="12.75">
      <c r="A7" s="323" t="s">
        <v>825</v>
      </c>
      <c r="B7" s="323" t="s">
        <v>826</v>
      </c>
      <c r="C7" s="323" t="s">
        <v>827</v>
      </c>
      <c r="D7" s="324" t="s">
        <v>828</v>
      </c>
    </row>
    <row r="8" spans="1:4" ht="12.75">
      <c r="A8" s="323"/>
      <c r="B8" s="323"/>
      <c r="C8" s="323"/>
      <c r="D8" s="324"/>
    </row>
    <row r="9" spans="1:5" s="270" customFormat="1" ht="12.75">
      <c r="A9" s="269" t="s">
        <v>829</v>
      </c>
      <c r="B9" s="320" t="s">
        <v>331</v>
      </c>
      <c r="C9" s="320"/>
      <c r="D9" s="320"/>
      <c r="E9" s="270" t="s">
        <v>830</v>
      </c>
    </row>
    <row r="10" spans="1:4" s="270" customFormat="1" ht="31.5">
      <c r="A10" s="271"/>
      <c r="B10" s="272" t="s">
        <v>603</v>
      </c>
      <c r="C10" s="273" t="s">
        <v>831</v>
      </c>
      <c r="D10" s="274">
        <v>4768.3</v>
      </c>
    </row>
    <row r="11" spans="1:4" s="270" customFormat="1" ht="78.75">
      <c r="A11" s="271"/>
      <c r="B11" s="272" t="s">
        <v>637</v>
      </c>
      <c r="C11" s="273" t="s">
        <v>832</v>
      </c>
      <c r="D11" s="274">
        <v>40.6</v>
      </c>
    </row>
    <row r="12" spans="1:4" s="270" customFormat="1" ht="78.75">
      <c r="A12" s="271"/>
      <c r="B12" s="272" t="s">
        <v>643</v>
      </c>
      <c r="C12" s="273" t="s">
        <v>833</v>
      </c>
      <c r="D12" s="274">
        <v>5</v>
      </c>
    </row>
    <row r="13" spans="1:7" ht="47.25">
      <c r="A13" s="275"/>
      <c r="B13" s="272" t="s">
        <v>675</v>
      </c>
      <c r="C13" s="273" t="s">
        <v>834</v>
      </c>
      <c r="D13" s="274">
        <v>256.4</v>
      </c>
      <c r="G13" s="276"/>
    </row>
    <row r="14" spans="1:7" ht="78.75">
      <c r="A14" s="275"/>
      <c r="B14" s="272" t="s">
        <v>835</v>
      </c>
      <c r="C14" s="273" t="s">
        <v>836</v>
      </c>
      <c r="D14" s="274">
        <v>886.9</v>
      </c>
      <c r="G14" s="276"/>
    </row>
    <row r="15" spans="1:4" ht="157.5">
      <c r="A15" s="275"/>
      <c r="B15" s="272" t="s">
        <v>837</v>
      </c>
      <c r="C15" s="273" t="s">
        <v>838</v>
      </c>
      <c r="D15" s="274">
        <v>3.3</v>
      </c>
    </row>
    <row r="16" spans="1:4" ht="63">
      <c r="A16" s="275"/>
      <c r="B16" s="272" t="s">
        <v>703</v>
      </c>
      <c r="C16" s="273" t="s">
        <v>839</v>
      </c>
      <c r="D16" s="274">
        <v>3651.4</v>
      </c>
    </row>
    <row r="17" spans="1:4" ht="63">
      <c r="A17" s="275"/>
      <c r="B17" s="272" t="s">
        <v>840</v>
      </c>
      <c r="C17" s="273" t="s">
        <v>841</v>
      </c>
      <c r="D17" s="274">
        <v>143.3</v>
      </c>
    </row>
    <row r="18" spans="1:4" s="270" customFormat="1" ht="12.75">
      <c r="A18" s="269" t="s">
        <v>842</v>
      </c>
      <c r="B18" s="319" t="s">
        <v>335</v>
      </c>
      <c r="C18" s="319"/>
      <c r="D18" s="319"/>
    </row>
    <row r="19" spans="1:4" s="270" customFormat="1" ht="31.5">
      <c r="A19" s="271"/>
      <c r="B19" s="277" t="s">
        <v>709</v>
      </c>
      <c r="C19" s="278" t="s">
        <v>843</v>
      </c>
      <c r="D19" s="279">
        <v>27</v>
      </c>
    </row>
    <row r="20" spans="1:4" s="270" customFormat="1" ht="31.5">
      <c r="A20" s="271"/>
      <c r="B20" s="277" t="s">
        <v>727</v>
      </c>
      <c r="C20" s="278" t="s">
        <v>844</v>
      </c>
      <c r="D20" s="279">
        <v>14063.5</v>
      </c>
    </row>
    <row r="21" spans="1:4" s="270" customFormat="1" ht="78.75">
      <c r="A21" s="271"/>
      <c r="B21" s="277" t="s">
        <v>845</v>
      </c>
      <c r="C21" s="278" t="s">
        <v>846</v>
      </c>
      <c r="D21" s="279">
        <v>5455.8</v>
      </c>
    </row>
    <row r="22" spans="1:4" s="270" customFormat="1" ht="126">
      <c r="A22" s="271"/>
      <c r="B22" s="280" t="s">
        <v>847</v>
      </c>
      <c r="C22" s="281" t="s">
        <v>848</v>
      </c>
      <c r="D22" s="279">
        <v>5279.2</v>
      </c>
    </row>
    <row r="23" spans="1:4" s="270" customFormat="1" ht="110.25">
      <c r="A23" s="275"/>
      <c r="B23" s="280" t="s">
        <v>849</v>
      </c>
      <c r="C23" s="281" t="s">
        <v>850</v>
      </c>
      <c r="D23" s="274">
        <v>44367.1</v>
      </c>
    </row>
    <row r="24" spans="1:4" s="270" customFormat="1" ht="126">
      <c r="A24" s="275"/>
      <c r="B24" s="280" t="s">
        <v>851</v>
      </c>
      <c r="C24" s="281" t="s">
        <v>852</v>
      </c>
      <c r="D24" s="274">
        <v>1193.2</v>
      </c>
    </row>
    <row r="25" spans="1:4" s="270" customFormat="1" ht="78.75">
      <c r="A25" s="275"/>
      <c r="B25" s="280" t="s">
        <v>743</v>
      </c>
      <c r="C25" s="281" t="s">
        <v>853</v>
      </c>
      <c r="D25" s="274">
        <v>2478.5</v>
      </c>
    </row>
    <row r="26" spans="1:4" s="270" customFormat="1" ht="78.75">
      <c r="A26" s="275"/>
      <c r="B26" s="280" t="s">
        <v>747</v>
      </c>
      <c r="C26" s="281" t="s">
        <v>854</v>
      </c>
      <c r="D26" s="274">
        <v>280.9</v>
      </c>
    </row>
    <row r="27" spans="1:4" s="270" customFormat="1" ht="63">
      <c r="A27" s="275"/>
      <c r="B27" s="272" t="s">
        <v>751</v>
      </c>
      <c r="C27" s="273" t="s">
        <v>855</v>
      </c>
      <c r="D27" s="274">
        <v>18264.8</v>
      </c>
    </row>
    <row r="28" spans="1:4" s="270" customFormat="1" ht="31.5">
      <c r="A28" s="275"/>
      <c r="B28" s="280" t="s">
        <v>755</v>
      </c>
      <c r="C28" s="273" t="s">
        <v>856</v>
      </c>
      <c r="D28" s="274">
        <v>6694.6</v>
      </c>
    </row>
    <row r="29" spans="1:4" s="270" customFormat="1" ht="31.5">
      <c r="A29" s="275"/>
      <c r="B29" s="280" t="s">
        <v>759</v>
      </c>
      <c r="C29" s="273" t="s">
        <v>857</v>
      </c>
      <c r="D29" s="274">
        <v>14443</v>
      </c>
    </row>
    <row r="30" spans="1:4" s="270" customFormat="1" ht="31.5">
      <c r="A30" s="275"/>
      <c r="B30" s="272" t="s">
        <v>858</v>
      </c>
      <c r="C30" s="273" t="s">
        <v>859</v>
      </c>
      <c r="D30" s="274">
        <v>471.4</v>
      </c>
    </row>
    <row r="31" spans="1:4" s="270" customFormat="1" ht="31.5">
      <c r="A31" s="275"/>
      <c r="B31" s="272" t="s">
        <v>860</v>
      </c>
      <c r="C31" s="273" t="s">
        <v>861</v>
      </c>
      <c r="D31" s="274">
        <v>3403</v>
      </c>
    </row>
    <row r="32" spans="1:4" s="270" customFormat="1" ht="47.25">
      <c r="A32" s="275"/>
      <c r="B32" s="272" t="s">
        <v>862</v>
      </c>
      <c r="C32" s="273" t="s">
        <v>863</v>
      </c>
      <c r="D32" s="274">
        <v>300</v>
      </c>
    </row>
    <row r="33" spans="1:4" s="270" customFormat="1" ht="47.25">
      <c r="A33" s="275"/>
      <c r="B33" s="272" t="s">
        <v>864</v>
      </c>
      <c r="C33" s="273" t="s">
        <v>865</v>
      </c>
      <c r="D33" s="274">
        <v>116.7</v>
      </c>
    </row>
    <row r="34" spans="1:4" s="270" customFormat="1" ht="47.25">
      <c r="A34" s="275"/>
      <c r="B34" s="272" t="s">
        <v>866</v>
      </c>
      <c r="C34" s="273" t="s">
        <v>867</v>
      </c>
      <c r="D34" s="274">
        <v>9861.7</v>
      </c>
    </row>
    <row r="35" spans="1:4" s="270" customFormat="1" ht="47.25">
      <c r="A35" s="275"/>
      <c r="B35" s="272" t="s">
        <v>868</v>
      </c>
      <c r="C35" s="273" t="s">
        <v>869</v>
      </c>
      <c r="D35" s="274">
        <v>14357.1</v>
      </c>
    </row>
    <row r="36" spans="1:4" s="270" customFormat="1" ht="47.25">
      <c r="A36" s="275"/>
      <c r="B36" s="272" t="s">
        <v>870</v>
      </c>
      <c r="C36" s="273" t="s">
        <v>871</v>
      </c>
      <c r="D36" s="274">
        <v>5888.9</v>
      </c>
    </row>
    <row r="37" spans="1:4" s="270" customFormat="1" ht="78.75">
      <c r="A37" s="275"/>
      <c r="B37" s="272" t="s">
        <v>872</v>
      </c>
      <c r="C37" s="273" t="s">
        <v>873</v>
      </c>
      <c r="D37" s="274">
        <v>325.7</v>
      </c>
    </row>
    <row r="38" spans="1:4" s="270" customFormat="1" ht="78.75">
      <c r="A38" s="275"/>
      <c r="B38" s="277" t="s">
        <v>778</v>
      </c>
      <c r="C38" s="282" t="s">
        <v>874</v>
      </c>
      <c r="D38" s="274">
        <v>8050</v>
      </c>
    </row>
    <row r="39" spans="1:4" s="270" customFormat="1" ht="63">
      <c r="A39" s="275"/>
      <c r="B39" s="272" t="s">
        <v>782</v>
      </c>
      <c r="C39" s="273" t="s">
        <v>875</v>
      </c>
      <c r="D39" s="274">
        <v>978.7</v>
      </c>
    </row>
    <row r="40" spans="1:4" s="270" customFormat="1" ht="63">
      <c r="A40" s="275"/>
      <c r="B40" s="277" t="s">
        <v>786</v>
      </c>
      <c r="C40" s="282" t="s">
        <v>876</v>
      </c>
      <c r="D40" s="274">
        <v>32.2</v>
      </c>
    </row>
    <row r="41" spans="1:4" s="270" customFormat="1" ht="63">
      <c r="A41" s="275"/>
      <c r="B41" s="277" t="s">
        <v>790</v>
      </c>
      <c r="C41" s="282" t="s">
        <v>877</v>
      </c>
      <c r="D41" s="274">
        <v>14530.3</v>
      </c>
    </row>
    <row r="42" spans="1:4" s="270" customFormat="1" ht="31.5">
      <c r="A42" s="275"/>
      <c r="B42" s="277" t="s">
        <v>794</v>
      </c>
      <c r="C42" s="282" t="s">
        <v>878</v>
      </c>
      <c r="D42" s="274">
        <v>716.3</v>
      </c>
    </row>
    <row r="43" spans="1:4" s="270" customFormat="1" ht="31.5">
      <c r="A43" s="275"/>
      <c r="B43" s="277" t="s">
        <v>798</v>
      </c>
      <c r="C43" s="282" t="s">
        <v>879</v>
      </c>
      <c r="D43" s="274">
        <v>1392.2</v>
      </c>
    </row>
    <row r="44" spans="1:4" s="270" customFormat="1" ht="78.75">
      <c r="A44" s="275"/>
      <c r="B44" s="283" t="s">
        <v>880</v>
      </c>
      <c r="C44" s="273" t="s">
        <v>881</v>
      </c>
      <c r="D44" s="274">
        <v>668.1</v>
      </c>
    </row>
    <row r="45" spans="1:4" s="270" customFormat="1" ht="110.25">
      <c r="A45" s="275"/>
      <c r="B45" s="283" t="s">
        <v>882</v>
      </c>
      <c r="C45" s="273" t="s">
        <v>883</v>
      </c>
      <c r="D45" s="274">
        <v>213664.7</v>
      </c>
    </row>
    <row r="46" spans="1:4" s="270" customFormat="1" ht="94.5">
      <c r="A46" s="275"/>
      <c r="B46" s="283" t="s">
        <v>884</v>
      </c>
      <c r="C46" s="273" t="s">
        <v>885</v>
      </c>
      <c r="D46" s="274">
        <v>266.5</v>
      </c>
    </row>
    <row r="47" spans="1:4" s="270" customFormat="1" ht="78.75">
      <c r="A47" s="275"/>
      <c r="B47" s="283" t="s">
        <v>886</v>
      </c>
      <c r="C47" s="273" t="s">
        <v>887</v>
      </c>
      <c r="D47" s="274">
        <v>125685.1</v>
      </c>
    </row>
    <row r="48" spans="1:4" s="270" customFormat="1" ht="78.75">
      <c r="A48" s="275"/>
      <c r="B48" s="283" t="s">
        <v>888</v>
      </c>
      <c r="C48" s="273" t="s">
        <v>889</v>
      </c>
      <c r="D48" s="274">
        <v>1288.1</v>
      </c>
    </row>
    <row r="49" spans="1:4" s="270" customFormat="1" ht="47.25">
      <c r="A49" s="275"/>
      <c r="B49" s="283" t="s">
        <v>818</v>
      </c>
      <c r="C49" s="273" t="s">
        <v>890</v>
      </c>
      <c r="D49" s="274">
        <v>-243.4</v>
      </c>
    </row>
    <row r="50" spans="1:4" s="270" customFormat="1" ht="63">
      <c r="A50" s="275"/>
      <c r="B50" s="283" t="s">
        <v>820</v>
      </c>
      <c r="C50" s="273" t="s">
        <v>891</v>
      </c>
      <c r="D50" s="274">
        <v>-28.9</v>
      </c>
    </row>
    <row r="51" spans="1:4" s="270" customFormat="1" ht="47.25">
      <c r="A51" s="275"/>
      <c r="B51" s="283" t="s">
        <v>822</v>
      </c>
      <c r="C51" s="273" t="s">
        <v>892</v>
      </c>
      <c r="D51" s="274">
        <v>-5438</v>
      </c>
    </row>
    <row r="52" spans="1:4" s="270" customFormat="1" ht="12.75">
      <c r="A52" s="269" t="s">
        <v>893</v>
      </c>
      <c r="B52" s="319" t="s">
        <v>339</v>
      </c>
      <c r="C52" s="319"/>
      <c r="D52" s="319"/>
    </row>
    <row r="53" spans="1:4" s="270" customFormat="1" ht="78.75">
      <c r="A53" s="271"/>
      <c r="B53" s="272" t="s">
        <v>561</v>
      </c>
      <c r="C53" s="284" t="s">
        <v>894</v>
      </c>
      <c r="D53" s="274">
        <v>18748.8</v>
      </c>
    </row>
    <row r="54" spans="1:4" s="270" customFormat="1" ht="78.75">
      <c r="A54" s="271"/>
      <c r="B54" s="272" t="s">
        <v>565</v>
      </c>
      <c r="C54" s="273" t="s">
        <v>895</v>
      </c>
      <c r="D54" s="274">
        <v>1431.7</v>
      </c>
    </row>
    <row r="55" spans="1:4" s="270" customFormat="1" ht="31.5">
      <c r="A55" s="271"/>
      <c r="B55" s="272" t="s">
        <v>569</v>
      </c>
      <c r="C55" s="273" t="s">
        <v>896</v>
      </c>
      <c r="D55" s="274">
        <v>7288.8</v>
      </c>
    </row>
    <row r="56" spans="1:4" s="270" customFormat="1" ht="47.25">
      <c r="A56" s="271"/>
      <c r="B56" s="272" t="s">
        <v>575</v>
      </c>
      <c r="C56" s="273" t="s">
        <v>897</v>
      </c>
      <c r="D56" s="274">
        <v>993.4</v>
      </c>
    </row>
    <row r="57" spans="1:4" s="270" customFormat="1" ht="78.75">
      <c r="A57" s="271"/>
      <c r="B57" s="272" t="s">
        <v>581</v>
      </c>
      <c r="C57" s="273" t="s">
        <v>898</v>
      </c>
      <c r="D57" s="274">
        <v>2432.9</v>
      </c>
    </row>
    <row r="58" spans="1:5" s="270" customFormat="1" ht="47.25">
      <c r="A58" s="271"/>
      <c r="B58" s="285" t="s">
        <v>611</v>
      </c>
      <c r="C58" s="284" t="s">
        <v>899</v>
      </c>
      <c r="D58" s="274">
        <v>4924.4</v>
      </c>
      <c r="E58" s="286"/>
    </row>
    <row r="59" spans="1:5" s="270" customFormat="1" ht="63">
      <c r="A59" s="271"/>
      <c r="B59" s="285" t="s">
        <v>615</v>
      </c>
      <c r="C59" s="284" t="s">
        <v>900</v>
      </c>
      <c r="D59" s="274">
        <v>80</v>
      </c>
      <c r="E59" s="286"/>
    </row>
    <row r="60" spans="1:5" s="270" customFormat="1" ht="12.75">
      <c r="A60" s="271"/>
      <c r="B60" s="285" t="s">
        <v>901</v>
      </c>
      <c r="C60" s="284" t="s">
        <v>902</v>
      </c>
      <c r="D60" s="274">
        <v>16350.6</v>
      </c>
      <c r="E60" s="286"/>
    </row>
    <row r="61" spans="1:5" s="270" customFormat="1" ht="63">
      <c r="A61" s="271"/>
      <c r="B61" s="285" t="s">
        <v>903</v>
      </c>
      <c r="C61" s="284" t="s">
        <v>904</v>
      </c>
      <c r="D61" s="274">
        <v>2452.7</v>
      </c>
      <c r="E61" s="286"/>
    </row>
    <row r="62" spans="1:4" s="270" customFormat="1" ht="78.75">
      <c r="A62" s="271"/>
      <c r="B62" s="272" t="s">
        <v>685</v>
      </c>
      <c r="C62" s="273" t="s">
        <v>905</v>
      </c>
      <c r="D62" s="274">
        <v>705.2</v>
      </c>
    </row>
    <row r="63" spans="1:4" s="270" customFormat="1" ht="47.25">
      <c r="A63" s="271"/>
      <c r="B63" s="272" t="s">
        <v>691</v>
      </c>
      <c r="C63" s="273" t="s">
        <v>906</v>
      </c>
      <c r="D63" s="274">
        <v>18.3</v>
      </c>
    </row>
    <row r="64" spans="1:4" s="270" customFormat="1" ht="157.5">
      <c r="A64" s="271"/>
      <c r="B64" s="272" t="s">
        <v>837</v>
      </c>
      <c r="C64" s="273" t="s">
        <v>907</v>
      </c>
      <c r="D64" s="274">
        <v>411.4</v>
      </c>
    </row>
    <row r="65" spans="1:4" s="270" customFormat="1" ht="12.75">
      <c r="A65" s="271"/>
      <c r="B65" s="272" t="s">
        <v>713</v>
      </c>
      <c r="C65" s="273" t="s">
        <v>908</v>
      </c>
      <c r="D65" s="274">
        <v>49.6</v>
      </c>
    </row>
    <row r="66" spans="1:4" s="270" customFormat="1" ht="12.75">
      <c r="A66" s="287" t="s">
        <v>909</v>
      </c>
      <c r="B66" s="319" t="s">
        <v>910</v>
      </c>
      <c r="C66" s="319"/>
      <c r="D66" s="319"/>
    </row>
    <row r="67" spans="1:4" s="270" customFormat="1" ht="63">
      <c r="A67" s="288"/>
      <c r="B67" s="272" t="s">
        <v>911</v>
      </c>
      <c r="C67" s="273" t="s">
        <v>912</v>
      </c>
      <c r="D67" s="274">
        <v>112.9</v>
      </c>
    </row>
    <row r="68" spans="1:4" s="270" customFormat="1" ht="63">
      <c r="A68" s="288"/>
      <c r="B68" s="272" t="s">
        <v>913</v>
      </c>
      <c r="C68" s="273" t="s">
        <v>914</v>
      </c>
      <c r="D68" s="274">
        <v>365.5</v>
      </c>
    </row>
    <row r="69" spans="1:4" s="270" customFormat="1" ht="63">
      <c r="A69" s="288"/>
      <c r="B69" s="272" t="s">
        <v>915</v>
      </c>
      <c r="C69" s="273" t="s">
        <v>916</v>
      </c>
      <c r="D69" s="274">
        <v>-250.3</v>
      </c>
    </row>
    <row r="70" spans="1:4" s="270" customFormat="1" ht="63">
      <c r="A70" s="288"/>
      <c r="B70" s="272" t="s">
        <v>917</v>
      </c>
      <c r="C70" s="273" t="s">
        <v>918</v>
      </c>
      <c r="D70" s="274">
        <v>1.2</v>
      </c>
    </row>
    <row r="71" spans="1:4" s="270" customFormat="1" ht="141.75">
      <c r="A71" s="288"/>
      <c r="B71" s="272" t="s">
        <v>919</v>
      </c>
      <c r="C71" s="273" t="s">
        <v>920</v>
      </c>
      <c r="D71" s="274">
        <v>-1200</v>
      </c>
    </row>
    <row r="72" spans="1:4" s="270" customFormat="1" ht="12.75">
      <c r="A72" s="287" t="s">
        <v>921</v>
      </c>
      <c r="B72" s="320" t="s">
        <v>922</v>
      </c>
      <c r="C72" s="320"/>
      <c r="D72" s="320"/>
    </row>
    <row r="73" spans="1:4" s="270" customFormat="1" ht="126">
      <c r="A73" s="288"/>
      <c r="B73" s="272" t="s">
        <v>923</v>
      </c>
      <c r="C73" s="273" t="s">
        <v>924</v>
      </c>
      <c r="D73" s="274">
        <v>11.3</v>
      </c>
    </row>
    <row r="74" spans="1:4" s="270" customFormat="1" ht="78.75">
      <c r="A74" s="288"/>
      <c r="B74" s="272" t="s">
        <v>925</v>
      </c>
      <c r="C74" s="273" t="s">
        <v>926</v>
      </c>
      <c r="D74" s="274">
        <v>5</v>
      </c>
    </row>
    <row r="75" spans="1:4" s="270" customFormat="1" ht="110.25">
      <c r="A75" s="288"/>
      <c r="B75" s="272" t="s">
        <v>927</v>
      </c>
      <c r="C75" s="273" t="s">
        <v>928</v>
      </c>
      <c r="D75" s="274">
        <v>10</v>
      </c>
    </row>
    <row r="76" spans="1:4" s="270" customFormat="1" ht="110.25">
      <c r="A76" s="288"/>
      <c r="B76" s="272" t="s">
        <v>929</v>
      </c>
      <c r="C76" s="273" t="s">
        <v>930</v>
      </c>
      <c r="D76" s="274">
        <v>4.8</v>
      </c>
    </row>
    <row r="77" spans="1:4" s="270" customFormat="1" ht="94.5">
      <c r="A77" s="288"/>
      <c r="B77" s="272" t="s">
        <v>931</v>
      </c>
      <c r="C77" s="273" t="s">
        <v>932</v>
      </c>
      <c r="D77" s="274">
        <v>0.3</v>
      </c>
    </row>
    <row r="78" spans="1:4" s="270" customFormat="1" ht="94.5">
      <c r="A78" s="288"/>
      <c r="B78" s="272" t="s">
        <v>933</v>
      </c>
      <c r="C78" s="273" t="s">
        <v>934</v>
      </c>
      <c r="D78" s="274">
        <v>0.5</v>
      </c>
    </row>
    <row r="79" spans="1:4" s="270" customFormat="1" ht="110.25">
      <c r="A79" s="288"/>
      <c r="B79" s="272" t="s">
        <v>935</v>
      </c>
      <c r="C79" s="273" t="s">
        <v>936</v>
      </c>
      <c r="D79" s="274">
        <v>1.7</v>
      </c>
    </row>
    <row r="80" spans="1:4" s="270" customFormat="1" ht="94.5">
      <c r="A80" s="288"/>
      <c r="B80" s="272" t="s">
        <v>937</v>
      </c>
      <c r="C80" s="273" t="s">
        <v>938</v>
      </c>
      <c r="D80" s="274">
        <v>15.6</v>
      </c>
    </row>
    <row r="81" spans="1:4" s="270" customFormat="1" ht="12.75">
      <c r="A81" s="287" t="s">
        <v>939</v>
      </c>
      <c r="B81" s="319" t="s">
        <v>940</v>
      </c>
      <c r="C81" s="319"/>
      <c r="D81" s="319"/>
    </row>
    <row r="82" spans="1:5" ht="110.25">
      <c r="A82" s="288"/>
      <c r="B82" s="272" t="s">
        <v>497</v>
      </c>
      <c r="C82" s="273" t="s">
        <v>941</v>
      </c>
      <c r="D82" s="289">
        <v>1935.4</v>
      </c>
      <c r="E82" s="290"/>
    </row>
    <row r="83" spans="1:5" ht="126">
      <c r="A83" s="288"/>
      <c r="B83" s="272" t="s">
        <v>501</v>
      </c>
      <c r="C83" s="273" t="s">
        <v>942</v>
      </c>
      <c r="D83" s="289">
        <v>13.6</v>
      </c>
      <c r="E83" s="290"/>
    </row>
    <row r="84" spans="1:5" ht="126">
      <c r="A84" s="288"/>
      <c r="B84" s="272" t="s">
        <v>505</v>
      </c>
      <c r="C84" s="273" t="s">
        <v>943</v>
      </c>
      <c r="D84" s="289">
        <v>2573.3</v>
      </c>
      <c r="E84" s="290"/>
    </row>
    <row r="85" spans="1:4" s="270" customFormat="1" ht="110.25">
      <c r="A85" s="291"/>
      <c r="B85" s="272" t="s">
        <v>509</v>
      </c>
      <c r="C85" s="273" t="s">
        <v>944</v>
      </c>
      <c r="D85" s="289">
        <v>-330.1</v>
      </c>
    </row>
    <row r="86" spans="1:4" s="270" customFormat="1" ht="12.75">
      <c r="A86" s="287" t="s">
        <v>945</v>
      </c>
      <c r="B86" s="319" t="s">
        <v>946</v>
      </c>
      <c r="C86" s="319"/>
      <c r="D86" s="319"/>
    </row>
    <row r="87" spans="1:4" s="270" customFormat="1" ht="141.75">
      <c r="A87" s="291"/>
      <c r="B87" s="272" t="s">
        <v>919</v>
      </c>
      <c r="C87" s="273" t="s">
        <v>947</v>
      </c>
      <c r="D87" s="274">
        <v>11</v>
      </c>
    </row>
    <row r="88" spans="1:4" s="270" customFormat="1" ht="12.75">
      <c r="A88" s="269" t="s">
        <v>948</v>
      </c>
      <c r="B88" s="319" t="s">
        <v>949</v>
      </c>
      <c r="C88" s="319"/>
      <c r="D88" s="319"/>
    </row>
    <row r="89" spans="1:4" ht="110.25">
      <c r="A89" s="288"/>
      <c r="B89" s="272" t="s">
        <v>950</v>
      </c>
      <c r="C89" s="273" t="s">
        <v>951</v>
      </c>
      <c r="D89" s="289">
        <v>279219.6</v>
      </c>
    </row>
    <row r="90" spans="1:4" ht="78.75">
      <c r="A90" s="288"/>
      <c r="B90" s="272" t="s">
        <v>952</v>
      </c>
      <c r="C90" s="273" t="s">
        <v>953</v>
      </c>
      <c r="D90" s="289">
        <v>311.9</v>
      </c>
    </row>
    <row r="91" spans="1:4" ht="110.25">
      <c r="A91" s="288"/>
      <c r="B91" s="272" t="s">
        <v>954</v>
      </c>
      <c r="C91" s="273" t="s">
        <v>955</v>
      </c>
      <c r="D91" s="289">
        <v>634.3</v>
      </c>
    </row>
    <row r="92" spans="1:4" ht="78.75">
      <c r="A92" s="288"/>
      <c r="B92" s="272" t="s">
        <v>956</v>
      </c>
      <c r="C92" s="273" t="s">
        <v>957</v>
      </c>
      <c r="D92" s="289">
        <v>1.8</v>
      </c>
    </row>
    <row r="93" spans="1:4" ht="141.75">
      <c r="A93" s="288"/>
      <c r="B93" s="272" t="s">
        <v>958</v>
      </c>
      <c r="C93" s="273" t="s">
        <v>959</v>
      </c>
      <c r="D93" s="289">
        <v>875.8</v>
      </c>
    </row>
    <row r="94" spans="1:4" ht="126">
      <c r="A94" s="288"/>
      <c r="B94" s="272" t="s">
        <v>960</v>
      </c>
      <c r="C94" s="273" t="s">
        <v>961</v>
      </c>
      <c r="D94" s="289">
        <v>52.1</v>
      </c>
    </row>
    <row r="95" spans="1:4" ht="141.75">
      <c r="A95" s="288"/>
      <c r="B95" s="272" t="s">
        <v>962</v>
      </c>
      <c r="C95" s="273" t="s">
        <v>963</v>
      </c>
      <c r="D95" s="289">
        <v>2.9</v>
      </c>
    </row>
    <row r="96" spans="1:4" ht="78.75">
      <c r="A96" s="288"/>
      <c r="B96" s="272" t="s">
        <v>964</v>
      </c>
      <c r="C96" s="273" t="s">
        <v>965</v>
      </c>
      <c r="D96" s="289">
        <v>3113.2</v>
      </c>
    </row>
    <row r="97" spans="1:4" ht="63">
      <c r="A97" s="288"/>
      <c r="B97" s="272" t="s">
        <v>966</v>
      </c>
      <c r="C97" s="273" t="s">
        <v>967</v>
      </c>
      <c r="D97" s="289">
        <v>18.7</v>
      </c>
    </row>
    <row r="98" spans="1:4" ht="78.75">
      <c r="A98" s="288"/>
      <c r="B98" s="272" t="s">
        <v>968</v>
      </c>
      <c r="C98" s="273" t="s">
        <v>969</v>
      </c>
      <c r="D98" s="289">
        <v>19.5</v>
      </c>
    </row>
    <row r="99" spans="1:4" ht="47.25">
      <c r="A99" s="288"/>
      <c r="B99" s="272" t="s">
        <v>970</v>
      </c>
      <c r="C99" s="273" t="s">
        <v>971</v>
      </c>
      <c r="D99" s="289">
        <v>-0.8</v>
      </c>
    </row>
    <row r="100" spans="1:4" ht="126">
      <c r="A100" s="288"/>
      <c r="B100" s="272" t="s">
        <v>972</v>
      </c>
      <c r="C100" s="273" t="s">
        <v>973</v>
      </c>
      <c r="D100" s="289">
        <v>2270.8</v>
      </c>
    </row>
    <row r="101" spans="1:4" ht="110.25">
      <c r="A101" s="288"/>
      <c r="B101" s="272" t="s">
        <v>974</v>
      </c>
      <c r="C101" s="273" t="s">
        <v>975</v>
      </c>
      <c r="D101" s="289">
        <v>1.6</v>
      </c>
    </row>
    <row r="102" spans="1:4" ht="63">
      <c r="A102" s="288"/>
      <c r="B102" s="272" t="s">
        <v>976</v>
      </c>
      <c r="C102" s="273" t="s">
        <v>977</v>
      </c>
      <c r="D102" s="289">
        <v>17372.9</v>
      </c>
    </row>
    <row r="103" spans="1:4" ht="47.25">
      <c r="A103" s="288"/>
      <c r="B103" s="272" t="s">
        <v>978</v>
      </c>
      <c r="C103" s="273" t="s">
        <v>979</v>
      </c>
      <c r="D103" s="289">
        <v>93.2</v>
      </c>
    </row>
    <row r="104" spans="1:4" ht="63">
      <c r="A104" s="288"/>
      <c r="B104" s="272" t="s">
        <v>980</v>
      </c>
      <c r="C104" s="273" t="s">
        <v>981</v>
      </c>
      <c r="D104" s="289">
        <v>20.1</v>
      </c>
    </row>
    <row r="105" spans="1:4" ht="31.5">
      <c r="A105" s="288"/>
      <c r="B105" s="272" t="s">
        <v>982</v>
      </c>
      <c r="C105" s="273" t="s">
        <v>983</v>
      </c>
      <c r="D105" s="289">
        <v>1.9</v>
      </c>
    </row>
    <row r="106" spans="1:4" ht="94.5">
      <c r="A106" s="288"/>
      <c r="B106" s="272" t="s">
        <v>984</v>
      </c>
      <c r="C106" s="273" t="s">
        <v>985</v>
      </c>
      <c r="D106" s="289">
        <v>8717.2</v>
      </c>
    </row>
    <row r="107" spans="1:4" ht="78.75">
      <c r="A107" s="288"/>
      <c r="B107" s="272" t="s">
        <v>986</v>
      </c>
      <c r="C107" s="273" t="s">
        <v>987</v>
      </c>
      <c r="D107" s="289">
        <v>52.6</v>
      </c>
    </row>
    <row r="108" spans="1:4" ht="94.5">
      <c r="A108" s="288"/>
      <c r="B108" s="272" t="s">
        <v>988</v>
      </c>
      <c r="C108" s="273" t="s">
        <v>989</v>
      </c>
      <c r="D108" s="289">
        <v>0.9</v>
      </c>
    </row>
    <row r="109" spans="1:4" ht="63">
      <c r="A109" s="288"/>
      <c r="B109" s="272" t="s">
        <v>990</v>
      </c>
      <c r="C109" s="273" t="s">
        <v>991</v>
      </c>
      <c r="D109" s="274">
        <v>4850.9</v>
      </c>
    </row>
    <row r="110" spans="1:4" ht="31.5">
      <c r="A110" s="288"/>
      <c r="B110" s="272" t="s">
        <v>992</v>
      </c>
      <c r="C110" s="273" t="s">
        <v>993</v>
      </c>
      <c r="D110" s="274">
        <v>53.6</v>
      </c>
    </row>
    <row r="111" spans="1:4" ht="63">
      <c r="A111" s="288"/>
      <c r="B111" s="272" t="s">
        <v>994</v>
      </c>
      <c r="C111" s="273" t="s">
        <v>995</v>
      </c>
      <c r="D111" s="274">
        <v>33.6</v>
      </c>
    </row>
    <row r="112" spans="1:4" ht="31.5">
      <c r="A112" s="288"/>
      <c r="B112" s="272" t="s">
        <v>996</v>
      </c>
      <c r="C112" s="273" t="s">
        <v>997</v>
      </c>
      <c r="D112" s="274">
        <v>-7.5</v>
      </c>
    </row>
    <row r="113" spans="1:4" ht="63">
      <c r="A113" s="288"/>
      <c r="B113" s="272" t="s">
        <v>998</v>
      </c>
      <c r="C113" s="273" t="s">
        <v>999</v>
      </c>
      <c r="D113" s="274">
        <v>-0.5</v>
      </c>
    </row>
    <row r="114" spans="1:4" ht="63">
      <c r="A114" s="288"/>
      <c r="B114" s="272" t="s">
        <v>1000</v>
      </c>
      <c r="C114" s="273" t="s">
        <v>1001</v>
      </c>
      <c r="D114" s="274">
        <v>9165.9</v>
      </c>
    </row>
    <row r="115" spans="1:4" ht="47.25">
      <c r="A115" s="288"/>
      <c r="B115" s="272" t="s">
        <v>1002</v>
      </c>
      <c r="C115" s="273" t="s">
        <v>1003</v>
      </c>
      <c r="D115" s="274">
        <v>7</v>
      </c>
    </row>
    <row r="116" spans="1:4" ht="47.25">
      <c r="A116" s="288"/>
      <c r="B116" s="272" t="s">
        <v>1004</v>
      </c>
      <c r="C116" s="273" t="s">
        <v>1005</v>
      </c>
      <c r="D116" s="274">
        <v>9.5</v>
      </c>
    </row>
    <row r="117" spans="1:4" ht="78.75">
      <c r="A117" s="288"/>
      <c r="B117" s="272" t="s">
        <v>1006</v>
      </c>
      <c r="C117" s="273" t="s">
        <v>1007</v>
      </c>
      <c r="D117" s="274">
        <v>19330.2</v>
      </c>
    </row>
    <row r="118" spans="1:4" ht="63">
      <c r="A118" s="288"/>
      <c r="B118" s="272" t="s">
        <v>1008</v>
      </c>
      <c r="C118" s="273" t="s">
        <v>1009</v>
      </c>
      <c r="D118" s="274">
        <v>126.1</v>
      </c>
    </row>
    <row r="119" spans="1:4" ht="63">
      <c r="A119" s="288"/>
      <c r="B119" s="272" t="s">
        <v>1010</v>
      </c>
      <c r="C119" s="273" t="s">
        <v>1011</v>
      </c>
      <c r="D119" s="274">
        <v>33778.3</v>
      </c>
    </row>
    <row r="120" spans="1:4" ht="47.25">
      <c r="A120" s="288"/>
      <c r="B120" s="272" t="s">
        <v>1012</v>
      </c>
      <c r="C120" s="273" t="s">
        <v>1013</v>
      </c>
      <c r="D120" s="274">
        <v>678.8</v>
      </c>
    </row>
    <row r="121" spans="1:4" ht="63">
      <c r="A121" s="288"/>
      <c r="B121" s="272" t="s">
        <v>1014</v>
      </c>
      <c r="C121" s="273" t="s">
        <v>1015</v>
      </c>
      <c r="D121" s="274">
        <v>11</v>
      </c>
    </row>
    <row r="122" spans="1:4" ht="47.25">
      <c r="A122" s="288"/>
      <c r="B122" s="272" t="s">
        <v>1016</v>
      </c>
      <c r="C122" s="273" t="s">
        <v>1017</v>
      </c>
      <c r="D122" s="274">
        <v>27.5</v>
      </c>
    </row>
    <row r="123" spans="1:4" ht="63">
      <c r="A123" s="288"/>
      <c r="B123" s="272" t="s">
        <v>1018</v>
      </c>
      <c r="C123" s="273" t="s">
        <v>1019</v>
      </c>
      <c r="D123" s="274">
        <v>8294.9</v>
      </c>
    </row>
    <row r="124" spans="1:4" ht="47.25">
      <c r="A124" s="288"/>
      <c r="B124" s="272" t="s">
        <v>1020</v>
      </c>
      <c r="C124" s="273" t="s">
        <v>1021</v>
      </c>
      <c r="D124" s="274">
        <v>49.7</v>
      </c>
    </row>
    <row r="125" spans="1:4" ht="63">
      <c r="A125" s="288"/>
      <c r="B125" s="272" t="s">
        <v>1022</v>
      </c>
      <c r="C125" s="273" t="s">
        <v>1023</v>
      </c>
      <c r="D125" s="274">
        <v>6162.2</v>
      </c>
    </row>
    <row r="126" spans="1:4" ht="78.75">
      <c r="A126" s="288"/>
      <c r="B126" s="272" t="s">
        <v>1024</v>
      </c>
      <c r="C126" s="273" t="s">
        <v>1025</v>
      </c>
      <c r="D126" s="274">
        <v>348.1</v>
      </c>
    </row>
    <row r="127" spans="1:4" ht="47.25">
      <c r="A127" s="288"/>
      <c r="B127" s="272" t="s">
        <v>1026</v>
      </c>
      <c r="C127" s="273" t="s">
        <v>1027</v>
      </c>
      <c r="D127" s="274">
        <v>0.9</v>
      </c>
    </row>
    <row r="128" spans="1:4" s="270" customFormat="1" ht="78.75">
      <c r="A128" s="288"/>
      <c r="B128" s="272" t="s">
        <v>697</v>
      </c>
      <c r="C128" s="273" t="s">
        <v>1028</v>
      </c>
      <c r="D128" s="274">
        <v>57</v>
      </c>
    </row>
    <row r="129" spans="1:4" ht="12.75">
      <c r="A129" s="287" t="s">
        <v>1029</v>
      </c>
      <c r="B129" s="319" t="s">
        <v>1030</v>
      </c>
      <c r="C129" s="319"/>
      <c r="D129" s="319"/>
    </row>
    <row r="130" spans="1:4" s="270" customFormat="1" ht="141.75">
      <c r="A130" s="288"/>
      <c r="B130" s="272" t="s">
        <v>919</v>
      </c>
      <c r="C130" s="273" t="s">
        <v>1031</v>
      </c>
      <c r="D130" s="274">
        <v>200.6</v>
      </c>
    </row>
    <row r="131" spans="1:5" ht="12.75">
      <c r="A131" s="287" t="s">
        <v>1032</v>
      </c>
      <c r="B131" s="320" t="s">
        <v>1033</v>
      </c>
      <c r="C131" s="320"/>
      <c r="D131" s="320"/>
      <c r="E131" s="292"/>
    </row>
    <row r="132" spans="1:4" ht="110.25">
      <c r="A132" s="288"/>
      <c r="B132" s="272" t="s">
        <v>1034</v>
      </c>
      <c r="C132" s="273" t="s">
        <v>1035</v>
      </c>
      <c r="D132" s="274">
        <v>15.6</v>
      </c>
    </row>
    <row r="133" spans="1:4" ht="78.75">
      <c r="A133" s="288"/>
      <c r="B133" s="272" t="s">
        <v>925</v>
      </c>
      <c r="C133" s="273" t="s">
        <v>1036</v>
      </c>
      <c r="D133" s="274">
        <v>0.5</v>
      </c>
    </row>
    <row r="134" spans="1:4" ht="189">
      <c r="A134" s="288"/>
      <c r="B134" s="272" t="s">
        <v>1037</v>
      </c>
      <c r="C134" s="273" t="s">
        <v>1038</v>
      </c>
      <c r="D134" s="274">
        <v>27</v>
      </c>
    </row>
    <row r="135" spans="1:4" ht="94.5">
      <c r="A135" s="288"/>
      <c r="B135" s="272" t="s">
        <v>931</v>
      </c>
      <c r="C135" s="273" t="s">
        <v>1039</v>
      </c>
      <c r="D135" s="274">
        <v>7.4</v>
      </c>
    </row>
    <row r="136" spans="1:4" ht="110.25">
      <c r="A136" s="288"/>
      <c r="B136" s="272" t="s">
        <v>1040</v>
      </c>
      <c r="C136" s="273" t="s">
        <v>1041</v>
      </c>
      <c r="D136" s="274">
        <v>50</v>
      </c>
    </row>
    <row r="137" spans="1:4" ht="94.5">
      <c r="A137" s="288"/>
      <c r="B137" s="272" t="s">
        <v>933</v>
      </c>
      <c r="C137" s="273" t="s">
        <v>1042</v>
      </c>
      <c r="D137" s="274">
        <v>2.6</v>
      </c>
    </row>
    <row r="138" spans="1:4" ht="126">
      <c r="A138" s="288"/>
      <c r="B138" s="272" t="s">
        <v>1043</v>
      </c>
      <c r="C138" s="273" t="s">
        <v>1044</v>
      </c>
      <c r="D138" s="274">
        <v>15</v>
      </c>
    </row>
    <row r="139" spans="1:4" ht="110.25">
      <c r="A139" s="288"/>
      <c r="B139" s="272" t="s">
        <v>1045</v>
      </c>
      <c r="C139" s="273" t="s">
        <v>1046</v>
      </c>
      <c r="D139" s="274">
        <v>270</v>
      </c>
    </row>
    <row r="140" spans="1:4" ht="110.25">
      <c r="A140" s="288"/>
      <c r="B140" s="272" t="s">
        <v>1047</v>
      </c>
      <c r="C140" s="273" t="s">
        <v>1048</v>
      </c>
      <c r="D140" s="274">
        <v>0.5</v>
      </c>
    </row>
    <row r="141" spans="1:4" ht="94.5">
      <c r="A141" s="288"/>
      <c r="B141" s="272" t="s">
        <v>1049</v>
      </c>
      <c r="C141" s="273" t="s">
        <v>1050</v>
      </c>
      <c r="D141" s="274">
        <v>1.5</v>
      </c>
    </row>
    <row r="142" spans="1:4" ht="78.75">
      <c r="A142" s="288"/>
      <c r="B142" s="272" t="s">
        <v>1051</v>
      </c>
      <c r="C142" s="273" t="s">
        <v>1052</v>
      </c>
      <c r="D142" s="274">
        <v>5.5</v>
      </c>
    </row>
    <row r="143" spans="1:4" ht="126">
      <c r="A143" s="288"/>
      <c r="B143" s="272" t="s">
        <v>1053</v>
      </c>
      <c r="C143" s="273" t="s">
        <v>1054</v>
      </c>
      <c r="D143" s="274">
        <v>43.4</v>
      </c>
    </row>
    <row r="144" spans="1:4" ht="110.25">
      <c r="A144" s="288"/>
      <c r="B144" s="272" t="s">
        <v>1055</v>
      </c>
      <c r="C144" s="273" t="s">
        <v>1056</v>
      </c>
      <c r="D144" s="274">
        <v>18.8</v>
      </c>
    </row>
    <row r="145" spans="1:4" ht="141.75">
      <c r="A145" s="288"/>
      <c r="B145" s="272" t="s">
        <v>1057</v>
      </c>
      <c r="C145" s="273" t="s">
        <v>1058</v>
      </c>
      <c r="D145" s="274">
        <v>14</v>
      </c>
    </row>
    <row r="146" spans="1:4" ht="141.75">
      <c r="A146" s="288"/>
      <c r="B146" s="272" t="s">
        <v>1059</v>
      </c>
      <c r="C146" s="273" t="s">
        <v>1060</v>
      </c>
      <c r="D146" s="274">
        <v>3.6</v>
      </c>
    </row>
    <row r="147" spans="1:4" ht="204.75">
      <c r="A147" s="288"/>
      <c r="B147" s="272" t="s">
        <v>1061</v>
      </c>
      <c r="C147" s="273" t="s">
        <v>1062</v>
      </c>
      <c r="D147" s="274">
        <v>12.5</v>
      </c>
    </row>
    <row r="148" spans="1:4" ht="126">
      <c r="A148" s="288"/>
      <c r="B148" s="272" t="s">
        <v>1063</v>
      </c>
      <c r="C148" s="273" t="s">
        <v>1064</v>
      </c>
      <c r="D148" s="274">
        <v>18.3</v>
      </c>
    </row>
    <row r="149" spans="1:4" ht="141.75">
      <c r="A149" s="288"/>
      <c r="B149" s="272" t="s">
        <v>1065</v>
      </c>
      <c r="C149" s="273" t="s">
        <v>1066</v>
      </c>
      <c r="D149" s="274">
        <v>11.9</v>
      </c>
    </row>
    <row r="150" spans="1:4" ht="157.5">
      <c r="A150" s="288"/>
      <c r="B150" s="272" t="s">
        <v>1067</v>
      </c>
      <c r="C150" s="273" t="s">
        <v>1068</v>
      </c>
      <c r="D150" s="274">
        <v>2.6</v>
      </c>
    </row>
    <row r="151" spans="1:4" ht="94.5">
      <c r="A151" s="288"/>
      <c r="B151" s="272" t="s">
        <v>1069</v>
      </c>
      <c r="C151" s="273" t="s">
        <v>1070</v>
      </c>
      <c r="D151" s="274">
        <v>18.7</v>
      </c>
    </row>
    <row r="152" spans="1:4" ht="189">
      <c r="A152" s="288"/>
      <c r="B152" s="272" t="s">
        <v>1071</v>
      </c>
      <c r="C152" s="273" t="s">
        <v>1072</v>
      </c>
      <c r="D152" s="274">
        <v>368.4</v>
      </c>
    </row>
    <row r="153" spans="1:4" ht="94.5">
      <c r="A153" s="288"/>
      <c r="B153" s="272" t="s">
        <v>1073</v>
      </c>
      <c r="C153" s="273" t="s">
        <v>1074</v>
      </c>
      <c r="D153" s="274">
        <v>7.3</v>
      </c>
    </row>
    <row r="154" spans="1:4" ht="141.75">
      <c r="A154" s="288"/>
      <c r="B154" s="272" t="s">
        <v>1075</v>
      </c>
      <c r="C154" s="273" t="s">
        <v>1076</v>
      </c>
      <c r="D154" s="274">
        <v>25</v>
      </c>
    </row>
    <row r="155" spans="1:4" ht="157.5">
      <c r="A155" s="288"/>
      <c r="B155" s="272" t="s">
        <v>1077</v>
      </c>
      <c r="C155" s="273" t="s">
        <v>1078</v>
      </c>
      <c r="D155" s="274">
        <v>1</v>
      </c>
    </row>
    <row r="156" spans="1:4" ht="78.75">
      <c r="A156" s="288"/>
      <c r="B156" s="272" t="s">
        <v>1079</v>
      </c>
      <c r="C156" s="273" t="s">
        <v>1080</v>
      </c>
      <c r="D156" s="274">
        <v>19.3</v>
      </c>
    </row>
    <row r="157" spans="1:4" ht="126">
      <c r="A157" s="288"/>
      <c r="B157" s="272" t="s">
        <v>1081</v>
      </c>
      <c r="C157" s="273" t="s">
        <v>1082</v>
      </c>
      <c r="D157" s="274">
        <v>0.1</v>
      </c>
    </row>
    <row r="158" spans="1:4" ht="252">
      <c r="A158" s="288"/>
      <c r="B158" s="272" t="s">
        <v>1083</v>
      </c>
      <c r="C158" s="273" t="s">
        <v>1084</v>
      </c>
      <c r="D158" s="274">
        <v>2.3</v>
      </c>
    </row>
    <row r="159" spans="1:4" ht="126">
      <c r="A159" s="288"/>
      <c r="B159" s="272" t="s">
        <v>1085</v>
      </c>
      <c r="C159" s="273" t="s">
        <v>1086</v>
      </c>
      <c r="D159" s="274">
        <v>20</v>
      </c>
    </row>
    <row r="160" spans="1:4" ht="110.25">
      <c r="A160" s="288"/>
      <c r="B160" s="272" t="s">
        <v>935</v>
      </c>
      <c r="C160" s="273" t="s">
        <v>1087</v>
      </c>
      <c r="D160" s="274">
        <v>4.3</v>
      </c>
    </row>
    <row r="161" spans="1:4" ht="94.5">
      <c r="A161" s="288"/>
      <c r="B161" s="272" t="s">
        <v>937</v>
      </c>
      <c r="C161" s="273" t="s">
        <v>1088</v>
      </c>
      <c r="D161" s="274">
        <v>653.9</v>
      </c>
    </row>
  </sheetData>
  <mergeCells count="18">
    <mergeCell ref="B1:D1"/>
    <mergeCell ref="B2:D2"/>
    <mergeCell ref="B3:D3"/>
    <mergeCell ref="A5:D5"/>
    <mergeCell ref="A7:A8"/>
    <mergeCell ref="B7:B8"/>
    <mergeCell ref="C7:C8"/>
    <mergeCell ref="D7:D8"/>
    <mergeCell ref="B86:D86"/>
    <mergeCell ref="B88:D88"/>
    <mergeCell ref="B129:D129"/>
    <mergeCell ref="B131:D131"/>
    <mergeCell ref="B9:D9"/>
    <mergeCell ref="B18:D18"/>
    <mergeCell ref="B52:D52"/>
    <mergeCell ref="B66:D66"/>
    <mergeCell ref="B72:D72"/>
    <mergeCell ref="B81:D81"/>
  </mergeCells>
  <printOptions/>
  <pageMargins left="0.7874015748031497" right="0.1968503937007874" top="0.1968503937007874" bottom="0.1968503937007874" header="0.11811023622047245" footer="0.11811023622047245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" sqref="A1:D1"/>
    </sheetView>
  </sheetViews>
  <sheetFormatPr defaultColWidth="8.875" defaultRowHeight="12.75"/>
  <cols>
    <col min="1" max="1" width="6.625" style="14" customWidth="1"/>
    <col min="2" max="2" width="65.75390625" style="14" customWidth="1"/>
    <col min="3" max="3" width="12.375" style="14" customWidth="1"/>
    <col min="4" max="4" width="13.25390625" style="14" customWidth="1"/>
    <col min="5" max="5" width="8.875" style="3" customWidth="1"/>
    <col min="6" max="6" width="9.75390625" style="3" customWidth="1"/>
    <col min="7" max="16384" width="8.875" style="3" customWidth="1"/>
  </cols>
  <sheetData>
    <row r="1" spans="1:4" ht="46.15" customHeight="1">
      <c r="A1" s="326" t="s">
        <v>1093</v>
      </c>
      <c r="B1" s="326"/>
      <c r="C1" s="326"/>
      <c r="D1" s="326"/>
    </row>
    <row r="2" spans="1:4" ht="12.75">
      <c r="A2" s="100"/>
      <c r="B2" s="326"/>
      <c r="C2" s="326"/>
      <c r="D2" s="326"/>
    </row>
    <row r="3" spans="1:4" ht="51" customHeight="1">
      <c r="A3" s="325" t="s">
        <v>404</v>
      </c>
      <c r="B3" s="325"/>
      <c r="C3" s="325"/>
      <c r="D3" s="325"/>
    </row>
    <row r="4" spans="1:4" ht="47.25">
      <c r="A4" s="156" t="s">
        <v>36</v>
      </c>
      <c r="B4" s="156" t="s">
        <v>18</v>
      </c>
      <c r="C4" s="155" t="s">
        <v>402</v>
      </c>
      <c r="D4" s="11" t="s">
        <v>403</v>
      </c>
    </row>
    <row r="5" spans="1:4" ht="12.75">
      <c r="A5" s="25" t="s">
        <v>3</v>
      </c>
      <c r="B5" s="25" t="s">
        <v>77</v>
      </c>
      <c r="C5" s="25" t="s">
        <v>78</v>
      </c>
      <c r="D5" s="25" t="s">
        <v>79</v>
      </c>
    </row>
    <row r="6" spans="1:4" ht="12.75">
      <c r="A6" s="4" t="s">
        <v>66</v>
      </c>
      <c r="B6" s="23" t="s">
        <v>58</v>
      </c>
      <c r="C6" s="6">
        <f>C7+C16+C19+C22+C26+C33+C35+C39+C42+C44</f>
        <v>976067.5000000001</v>
      </c>
      <c r="D6" s="6">
        <f>D7+D16+D19+D22+D26+D33+D35+D39+D42+D44</f>
        <v>924798.6000000002</v>
      </c>
    </row>
    <row r="7" spans="1:4" ht="12.75">
      <c r="A7" s="4" t="s">
        <v>54</v>
      </c>
      <c r="B7" s="19" t="s">
        <v>20</v>
      </c>
      <c r="C7" s="6">
        <f>SUM(C8:C15)</f>
        <v>79216.6</v>
      </c>
      <c r="D7" s="6">
        <f>SUM(D8:D15)</f>
        <v>78030.6</v>
      </c>
    </row>
    <row r="8" spans="1:4" ht="34.15" customHeight="1">
      <c r="A8" s="25" t="s">
        <v>43</v>
      </c>
      <c r="B8" s="13" t="s">
        <v>59</v>
      </c>
      <c r="C8" s="7">
        <f>' № 7  рп, кцср, квр'!E8</f>
        <v>2314.1000000000004</v>
      </c>
      <c r="D8" s="7">
        <f>' № 7  рп, кцср, квр'!F8</f>
        <v>2314.1</v>
      </c>
    </row>
    <row r="9" spans="1:4" ht="47.25">
      <c r="A9" s="25" t="s">
        <v>44</v>
      </c>
      <c r="B9" s="13" t="s">
        <v>21</v>
      </c>
      <c r="C9" s="7">
        <f>' № 7  рп, кцср, квр'!E14</f>
        <v>2765.5</v>
      </c>
      <c r="D9" s="7">
        <f>' № 7  рп, кцср, квр'!F14</f>
        <v>2755.4</v>
      </c>
    </row>
    <row r="10" spans="1:4" ht="49.15" customHeight="1">
      <c r="A10" s="25" t="s">
        <v>45</v>
      </c>
      <c r="B10" s="13" t="s">
        <v>22</v>
      </c>
      <c r="C10" s="7">
        <f>' № 7  рп, кцср, квр'!E23</f>
        <v>24237.199999999997</v>
      </c>
      <c r="D10" s="7">
        <f>' № 7  рп, кцср, квр'!F23</f>
        <v>24237.199999999997</v>
      </c>
    </row>
    <row r="11" spans="1:4" ht="15.6" customHeight="1">
      <c r="A11" s="15" t="s">
        <v>163</v>
      </c>
      <c r="B11" s="8" t="s">
        <v>164</v>
      </c>
      <c r="C11" s="7">
        <f>' № 7  рп, кцср, квр'!E37</f>
        <v>32.2</v>
      </c>
      <c r="D11" s="7">
        <f>' № 7  рп, кцср, квр'!F37</f>
        <v>31.9</v>
      </c>
    </row>
    <row r="12" spans="1:7" ht="31.5" customHeight="1">
      <c r="A12" s="25" t="s">
        <v>46</v>
      </c>
      <c r="B12" s="13" t="s">
        <v>7</v>
      </c>
      <c r="C12" s="7">
        <f>' № 7  рп, кцср, квр'!E43</f>
        <v>7344.4</v>
      </c>
      <c r="D12" s="7">
        <f>' № 7  рп, кцср, квр'!F43</f>
        <v>7344.4</v>
      </c>
      <c r="G12" s="41"/>
    </row>
    <row r="13" spans="1:4" ht="19.15" customHeight="1">
      <c r="A13" s="15" t="s">
        <v>234</v>
      </c>
      <c r="B13" s="53" t="s">
        <v>236</v>
      </c>
      <c r="C13" s="7">
        <f>' № 7  рп, кцср, квр'!E52</f>
        <v>88.6</v>
      </c>
      <c r="D13" s="7">
        <f>' № 7  рп, кцср, квр'!F52</f>
        <v>88.6</v>
      </c>
    </row>
    <row r="14" spans="1:4" ht="12.75">
      <c r="A14" s="25" t="s">
        <v>47</v>
      </c>
      <c r="B14" s="13" t="s">
        <v>8</v>
      </c>
      <c r="C14" s="7">
        <f>' № 7  рп, кцср, квр'!E59</f>
        <v>800</v>
      </c>
      <c r="D14" s="7">
        <f>' № 7  рп, кцср, квр'!F59</f>
        <v>0</v>
      </c>
    </row>
    <row r="15" spans="1:4" ht="12.75">
      <c r="A15" s="25" t="s">
        <v>60</v>
      </c>
      <c r="B15" s="13" t="s">
        <v>23</v>
      </c>
      <c r="C15" s="7">
        <f>' № 7  рп, кцср, квр'!E65</f>
        <v>41634.600000000006</v>
      </c>
      <c r="D15" s="7">
        <f>' № 7  рп, кцср, квр'!F65</f>
        <v>41259</v>
      </c>
    </row>
    <row r="16" spans="1:4" ht="28.9" customHeight="1">
      <c r="A16" s="4" t="s">
        <v>55</v>
      </c>
      <c r="B16" s="19" t="s">
        <v>24</v>
      </c>
      <c r="C16" s="6">
        <f>C17+C18</f>
        <v>9380.4</v>
      </c>
      <c r="D16" s="6">
        <f aca="true" t="shared" si="0" ref="D16">D17+D18</f>
        <v>9380.4</v>
      </c>
    </row>
    <row r="17" spans="1:4" ht="12.75">
      <c r="A17" s="25" t="s">
        <v>75</v>
      </c>
      <c r="B17" s="13" t="s">
        <v>76</v>
      </c>
      <c r="C17" s="7">
        <f>' № 7  рп, кцср, квр'!E142</f>
        <v>1392.2</v>
      </c>
      <c r="D17" s="7">
        <f>' № 7  рп, кцср, квр'!F142</f>
        <v>1392.2</v>
      </c>
    </row>
    <row r="18" spans="1:4" ht="31.5">
      <c r="A18" s="15" t="s">
        <v>337</v>
      </c>
      <c r="B18" s="13" t="s">
        <v>338</v>
      </c>
      <c r="C18" s="7">
        <f>' № 7  рп, кцср, квр'!E149</f>
        <v>7988.2</v>
      </c>
      <c r="D18" s="7">
        <f>' № 7  рп, кцср, квр'!F149</f>
        <v>7988.2</v>
      </c>
    </row>
    <row r="19" spans="1:4" ht="16.15" customHeight="1">
      <c r="A19" s="4" t="s">
        <v>56</v>
      </c>
      <c r="B19" s="19" t="s">
        <v>25</v>
      </c>
      <c r="C19" s="6">
        <f>C20+C21</f>
        <v>106293.40000000001</v>
      </c>
      <c r="D19" s="6">
        <f aca="true" t="shared" si="1" ref="D19">D20+D21</f>
        <v>101527.1</v>
      </c>
    </row>
    <row r="20" spans="1:4" ht="12.75">
      <c r="A20" s="25" t="s">
        <v>6</v>
      </c>
      <c r="B20" s="13" t="s">
        <v>87</v>
      </c>
      <c r="C20" s="7">
        <f>' № 7  рп, кцср, квр'!E161</f>
        <v>105813.3</v>
      </c>
      <c r="D20" s="7">
        <f>' № 7  рп, кцср, квр'!F161</f>
        <v>101047.1</v>
      </c>
    </row>
    <row r="21" spans="1:4" ht="12.75">
      <c r="A21" s="25" t="s">
        <v>48</v>
      </c>
      <c r="B21" s="13" t="s">
        <v>26</v>
      </c>
      <c r="C21" s="7">
        <f>' № 7  рп, кцср, квр'!E208</f>
        <v>480.1</v>
      </c>
      <c r="D21" s="7">
        <f>' № 7  рп, кцср, квр'!F208</f>
        <v>480</v>
      </c>
    </row>
    <row r="22" spans="1:4" ht="12.75">
      <c r="A22" s="4" t="s">
        <v>57</v>
      </c>
      <c r="B22" s="19" t="s">
        <v>27</v>
      </c>
      <c r="C22" s="6">
        <f>C23+C25+C24</f>
        <v>83340.4</v>
      </c>
      <c r="D22" s="6">
        <f aca="true" t="shared" si="2" ref="D22">D23+D25+D24</f>
        <v>46753.3</v>
      </c>
    </row>
    <row r="23" spans="1:4" ht="12.75">
      <c r="A23" s="25" t="s">
        <v>4</v>
      </c>
      <c r="B23" s="13" t="s">
        <v>5</v>
      </c>
      <c r="C23" s="7">
        <f>' № 7  рп, кцср, квр'!E221</f>
        <v>2221.4</v>
      </c>
      <c r="D23" s="7">
        <f>' № 7  рп, кцср, квр'!F221</f>
        <v>2221.4</v>
      </c>
    </row>
    <row r="24" spans="1:4" ht="12.75">
      <c r="A24" s="15" t="s">
        <v>272</v>
      </c>
      <c r="B24" s="63" t="s">
        <v>273</v>
      </c>
      <c r="C24" s="7">
        <f>' № 7  рп, кцср, квр'!E228</f>
        <v>43833.2</v>
      </c>
      <c r="D24" s="7">
        <f>' № 7  рп, кцср, квр'!F228</f>
        <v>8901.7</v>
      </c>
    </row>
    <row r="25" spans="1:4" ht="12.75">
      <c r="A25" s="25" t="s">
        <v>49</v>
      </c>
      <c r="B25" s="13" t="s">
        <v>28</v>
      </c>
      <c r="C25" s="7">
        <f>' № 7  рп, кцср, квр'!E252</f>
        <v>37285.8</v>
      </c>
      <c r="D25" s="7">
        <f>' № 7  рп, кцср, квр'!F252</f>
        <v>35630.200000000004</v>
      </c>
    </row>
    <row r="26" spans="1:4" ht="12.75">
      <c r="A26" s="4" t="s">
        <v>37</v>
      </c>
      <c r="B26" s="5" t="s">
        <v>29</v>
      </c>
      <c r="C26" s="6">
        <f>C27+C28+C29+C31+C32+C30</f>
        <v>600484.6</v>
      </c>
      <c r="D26" s="6">
        <f aca="true" t="shared" si="3" ref="D26">D27+D28+D29+D31+D32+D30</f>
        <v>597445.1000000001</v>
      </c>
    </row>
    <row r="27" spans="1:4" ht="12.75">
      <c r="A27" s="25" t="s">
        <v>50</v>
      </c>
      <c r="B27" s="13" t="s">
        <v>10</v>
      </c>
      <c r="C27" s="7">
        <f>' № 7  рп, кцср, квр'!E303</f>
        <v>237606.5</v>
      </c>
      <c r="D27" s="7">
        <f>' № 7  рп, кцср, квр'!F303</f>
        <v>237597.4</v>
      </c>
    </row>
    <row r="28" spans="1:4" ht="12.75">
      <c r="A28" s="15" t="s">
        <v>51</v>
      </c>
      <c r="B28" s="13" t="s">
        <v>11</v>
      </c>
      <c r="C28" s="7">
        <f>' № 7  рп, кцср, квр'!E337</f>
        <v>314463.39999999997</v>
      </c>
      <c r="D28" s="7">
        <f>' № 7  рп, кцср, квр'!F337</f>
        <v>311617.3</v>
      </c>
    </row>
    <row r="29" spans="1:4" ht="12.75">
      <c r="A29" s="15" t="s">
        <v>88</v>
      </c>
      <c r="B29" s="13" t="s">
        <v>89</v>
      </c>
      <c r="C29" s="7">
        <f>' № 7  рп, кцср, квр'!E398</f>
        <v>37893.299999999996</v>
      </c>
      <c r="D29" s="7">
        <f>' № 7  рп, кцср, квр'!F398</f>
        <v>37841.399999999994</v>
      </c>
    </row>
    <row r="30" spans="1:4" ht="32.45" customHeight="1">
      <c r="A30" s="15" t="s">
        <v>215</v>
      </c>
      <c r="B30" s="13" t="s">
        <v>247</v>
      </c>
      <c r="C30" s="7">
        <f>' № 7  рп, кцср, квр'!E421</f>
        <v>81.4</v>
      </c>
      <c r="D30" s="7">
        <f>' № 7  рп, кцср, квр'!F421</f>
        <v>71.8</v>
      </c>
    </row>
    <row r="31" spans="1:4" ht="12.75">
      <c r="A31" s="15" t="s">
        <v>38</v>
      </c>
      <c r="B31" s="13" t="s">
        <v>96</v>
      </c>
      <c r="C31" s="7">
        <f>' № 7  рп, кцср, квр'!E428</f>
        <v>3939.3999999999996</v>
      </c>
      <c r="D31" s="7">
        <f>' № 7  рп, кцср, квр'!F428</f>
        <v>3888.4</v>
      </c>
    </row>
    <row r="32" spans="1:4" ht="12.75">
      <c r="A32" s="15" t="s">
        <v>52</v>
      </c>
      <c r="B32" s="13" t="s">
        <v>12</v>
      </c>
      <c r="C32" s="7">
        <f>' № 7  рп, кцср, квр'!E461</f>
        <v>6500.599999999999</v>
      </c>
      <c r="D32" s="7">
        <f>' № 7  рп, кцср, квр'!F461</f>
        <v>6428.8</v>
      </c>
    </row>
    <row r="33" spans="1:4" ht="12.75">
      <c r="A33" s="4" t="s">
        <v>41</v>
      </c>
      <c r="B33" s="19" t="s">
        <v>82</v>
      </c>
      <c r="C33" s="6">
        <f>C34</f>
        <v>41225</v>
      </c>
      <c r="D33" s="6">
        <f aca="true" t="shared" si="4" ref="D33">D34</f>
        <v>41204.4</v>
      </c>
    </row>
    <row r="34" spans="1:4" ht="12.75">
      <c r="A34" s="25" t="s">
        <v>42</v>
      </c>
      <c r="B34" s="13" t="s">
        <v>13</v>
      </c>
      <c r="C34" s="7">
        <f>' № 7  рп, кцср, квр'!E483</f>
        <v>41225</v>
      </c>
      <c r="D34" s="7">
        <f>' № 7  рп, кцср, квр'!F483</f>
        <v>41204.4</v>
      </c>
    </row>
    <row r="35" spans="1:4" ht="12.75">
      <c r="A35" s="4" t="s">
        <v>39</v>
      </c>
      <c r="B35" s="19" t="s">
        <v>31</v>
      </c>
      <c r="C35" s="6">
        <f>C36+C37+C38</f>
        <v>24353.100000000002</v>
      </c>
      <c r="D35" s="6">
        <f aca="true" t="shared" si="5" ref="D35">D36+D37+D38</f>
        <v>18686.199999999997</v>
      </c>
    </row>
    <row r="36" spans="1:4" ht="12.75">
      <c r="A36" s="68" t="s">
        <v>53</v>
      </c>
      <c r="B36" s="56" t="s">
        <v>32</v>
      </c>
      <c r="C36" s="7">
        <f>' № 7  рп, кцср, квр'!E547</f>
        <v>798.0999999999999</v>
      </c>
      <c r="D36" s="7">
        <f>' № 7  рп, кцср, квр'!F547</f>
        <v>798.1</v>
      </c>
    </row>
    <row r="37" spans="1:4" ht="12.75">
      <c r="A37" s="69" t="s">
        <v>40</v>
      </c>
      <c r="B37" s="48" t="s">
        <v>34</v>
      </c>
      <c r="C37" s="71">
        <f>' № 7  рп, кцср, квр'!E554</f>
        <v>607.1</v>
      </c>
      <c r="D37" s="71">
        <f>' № 7  рп, кцср, квр'!F554</f>
        <v>492</v>
      </c>
    </row>
    <row r="38" spans="1:4" ht="12.75">
      <c r="A38" s="69" t="s">
        <v>84</v>
      </c>
      <c r="B38" s="73" t="s">
        <v>85</v>
      </c>
      <c r="C38" s="72">
        <f>' № 7  рп, кцср, квр'!E570</f>
        <v>22947.9</v>
      </c>
      <c r="D38" s="72">
        <f>' № 7  рп, кцср, квр'!F570</f>
        <v>17396.1</v>
      </c>
    </row>
    <row r="39" spans="1:4" ht="12.75">
      <c r="A39" s="16" t="s">
        <v>61</v>
      </c>
      <c r="B39" s="19" t="s">
        <v>30</v>
      </c>
      <c r="C39" s="58">
        <f>C40+C41</f>
        <v>30197.800000000003</v>
      </c>
      <c r="D39" s="58">
        <f aca="true" t="shared" si="6" ref="D39">D40+D41</f>
        <v>30195.300000000003</v>
      </c>
    </row>
    <row r="40" spans="1:4" ht="12.75">
      <c r="A40" s="69" t="s">
        <v>86</v>
      </c>
      <c r="B40" s="48" t="s">
        <v>62</v>
      </c>
      <c r="C40" s="17">
        <f>' № 7  рп, кцср, квр'!E595</f>
        <v>13120.900000000001</v>
      </c>
      <c r="D40" s="17">
        <f>' № 7  рп, кцср, квр'!F595</f>
        <v>13118.400000000001</v>
      </c>
    </row>
    <row r="41" spans="1:4" ht="12.75">
      <c r="A41" s="69">
        <v>1103</v>
      </c>
      <c r="B41" s="70" t="s">
        <v>303</v>
      </c>
      <c r="C41" s="17">
        <f>' № 7  рп, кцср, квр'!E621</f>
        <v>17076.9</v>
      </c>
      <c r="D41" s="17">
        <f>' № 7  рп, кцср, квр'!F621</f>
        <v>17076.9</v>
      </c>
    </row>
    <row r="42" spans="1:4" ht="19.9" customHeight="1">
      <c r="A42" s="16" t="s">
        <v>90</v>
      </c>
      <c r="B42" s="19" t="s">
        <v>63</v>
      </c>
      <c r="C42" s="58">
        <f>C43</f>
        <v>1563.9</v>
      </c>
      <c r="D42" s="58">
        <f aca="true" t="shared" si="7" ref="D42">D43</f>
        <v>1563.9</v>
      </c>
    </row>
    <row r="43" spans="1:4" ht="14.45" customHeight="1">
      <c r="A43" s="55" t="s">
        <v>64</v>
      </c>
      <c r="B43" s="48" t="s">
        <v>65</v>
      </c>
      <c r="C43" s="17">
        <f>' № 7  рп, кцср, квр'!E651</f>
        <v>1563.9</v>
      </c>
      <c r="D43" s="17">
        <f>' № 7  рп, кцср, квр'!F651</f>
        <v>1563.9</v>
      </c>
    </row>
    <row r="44" spans="1:4" ht="12.75">
      <c r="A44" s="16" t="s">
        <v>252</v>
      </c>
      <c r="B44" s="19" t="s">
        <v>253</v>
      </c>
      <c r="C44" s="58">
        <f>C45</f>
        <v>12.3</v>
      </c>
      <c r="D44" s="58">
        <f>D45</f>
        <v>12.3</v>
      </c>
    </row>
    <row r="45" spans="1:4" ht="30" customHeight="1">
      <c r="A45" s="55" t="s">
        <v>254</v>
      </c>
      <c r="B45" s="48" t="s">
        <v>255</v>
      </c>
      <c r="C45" s="17">
        <f>' № 7  рп, кцср, квр'!E670</f>
        <v>12.3</v>
      </c>
      <c r="D45" s="17">
        <f>' № 7  рп, кцср, квр'!F670</f>
        <v>12.3</v>
      </c>
    </row>
  </sheetData>
  <mergeCells count="3">
    <mergeCell ref="A3:D3"/>
    <mergeCell ref="B2:D2"/>
    <mergeCell ref="A1:D1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0"/>
  <sheetViews>
    <sheetView zoomScale="92" zoomScaleNormal="92" workbookViewId="0" topLeftCell="A1">
      <selection activeCell="B1" sqref="B1:G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59.375" style="47" customWidth="1"/>
    <col min="6" max="6" width="13.00390625" style="27" customWidth="1"/>
    <col min="7" max="7" width="12.625" style="27" customWidth="1"/>
    <col min="8" max="9" width="8.875" style="3" customWidth="1"/>
    <col min="10" max="10" width="14.00390625" style="3" bestFit="1" customWidth="1"/>
    <col min="11" max="16384" width="8.875" style="3" customWidth="1"/>
  </cols>
  <sheetData>
    <row r="1" spans="1:7" ht="58.15" customHeight="1">
      <c r="A1" s="103" t="s">
        <v>66</v>
      </c>
      <c r="B1" s="327" t="s">
        <v>1094</v>
      </c>
      <c r="C1" s="327"/>
      <c r="D1" s="327"/>
      <c r="E1" s="327"/>
      <c r="F1" s="327"/>
      <c r="G1" s="327"/>
    </row>
    <row r="2" spans="1:7" ht="30.6" customHeight="1">
      <c r="A2" s="328" t="s">
        <v>405</v>
      </c>
      <c r="B2" s="328"/>
      <c r="C2" s="328"/>
      <c r="D2" s="328"/>
      <c r="E2" s="328"/>
      <c r="F2" s="328"/>
      <c r="G2" s="328"/>
    </row>
    <row r="3" spans="1:7" ht="47.25">
      <c r="A3" s="158" t="s">
        <v>15</v>
      </c>
      <c r="B3" s="158" t="s">
        <v>36</v>
      </c>
      <c r="C3" s="158" t="s">
        <v>16</v>
      </c>
      <c r="D3" s="158" t="s">
        <v>17</v>
      </c>
      <c r="E3" s="159" t="s">
        <v>18</v>
      </c>
      <c r="F3" s="155" t="s">
        <v>402</v>
      </c>
      <c r="G3" s="11" t="s">
        <v>403</v>
      </c>
    </row>
    <row r="4" spans="1:7" ht="12.75">
      <c r="A4" s="104" t="s">
        <v>3</v>
      </c>
      <c r="B4" s="104" t="s">
        <v>77</v>
      </c>
      <c r="C4" s="104" t="s">
        <v>78</v>
      </c>
      <c r="D4" s="104" t="s">
        <v>79</v>
      </c>
      <c r="E4" s="106" t="s">
        <v>80</v>
      </c>
      <c r="F4" s="106" t="s">
        <v>81</v>
      </c>
      <c r="G4" s="106" t="s">
        <v>91</v>
      </c>
    </row>
    <row r="5" spans="1:7" ht="12.75">
      <c r="A5" s="16" t="s">
        <v>66</v>
      </c>
      <c r="B5" s="16" t="s">
        <v>66</v>
      </c>
      <c r="C5" s="16" t="s">
        <v>66</v>
      </c>
      <c r="D5" s="16" t="s">
        <v>66</v>
      </c>
      <c r="E5" s="44" t="s">
        <v>0</v>
      </c>
      <c r="F5" s="26">
        <f>F6+F472+F496+F547+F558</f>
        <v>976067.4999999999</v>
      </c>
      <c r="G5" s="26">
        <f>G6+G472+G496+G547+G558</f>
        <v>924798.6</v>
      </c>
    </row>
    <row r="6" spans="1:7" ht="31.5">
      <c r="A6" s="16" t="s">
        <v>19</v>
      </c>
      <c r="B6" s="24" t="s">
        <v>66</v>
      </c>
      <c r="C6" s="24" t="s">
        <v>66</v>
      </c>
      <c r="D6" s="24" t="s">
        <v>66</v>
      </c>
      <c r="E6" s="44" t="s">
        <v>331</v>
      </c>
      <c r="F6" s="26">
        <f>F7+F104+F123+F178+F253+F307+F370+F458+F402</f>
        <v>361988.10000000003</v>
      </c>
      <c r="G6" s="26">
        <f>G7+G104+G123+G178+G253+G307+G370+G458+G402</f>
        <v>320343.30000000005</v>
      </c>
    </row>
    <row r="7" spans="1:7" ht="12.75">
      <c r="A7" s="104" t="s">
        <v>19</v>
      </c>
      <c r="B7" s="104" t="s">
        <v>54</v>
      </c>
      <c r="C7" s="104" t="s">
        <v>66</v>
      </c>
      <c r="D7" s="104" t="s">
        <v>66</v>
      </c>
      <c r="E7" s="45" t="s">
        <v>20</v>
      </c>
      <c r="F7" s="21">
        <f>F8+F14+F28+F41+F34</f>
        <v>56815.399999999994</v>
      </c>
      <c r="G7" s="21">
        <f aca="true" t="shared" si="0" ref="G7">G8+G14+G28+G41+G34</f>
        <v>56733.19999999999</v>
      </c>
    </row>
    <row r="8" spans="1:7" ht="47.25">
      <c r="A8" s="104" t="s">
        <v>19</v>
      </c>
      <c r="B8" s="104" t="s">
        <v>43</v>
      </c>
      <c r="C8" s="104" t="s">
        <v>66</v>
      </c>
      <c r="D8" s="104" t="s">
        <v>66</v>
      </c>
      <c r="E8" s="42" t="s">
        <v>59</v>
      </c>
      <c r="F8" s="21">
        <f>F9</f>
        <v>2314.1000000000004</v>
      </c>
      <c r="G8" s="21">
        <f aca="true" t="shared" si="1" ref="G8:G12">G9</f>
        <v>2314.1</v>
      </c>
    </row>
    <row r="9" spans="1:7" ht="12.75">
      <c r="A9" s="104" t="s">
        <v>19</v>
      </c>
      <c r="B9" s="104" t="s">
        <v>43</v>
      </c>
      <c r="C9" s="104">
        <v>9900000000</v>
      </c>
      <c r="D9" s="104"/>
      <c r="E9" s="105" t="s">
        <v>102</v>
      </c>
      <c r="F9" s="21">
        <f>F10</f>
        <v>2314.1000000000004</v>
      </c>
      <c r="G9" s="21">
        <f t="shared" si="1"/>
        <v>2314.1</v>
      </c>
    </row>
    <row r="10" spans="1:7" ht="47.25">
      <c r="A10" s="104" t="s">
        <v>19</v>
      </c>
      <c r="B10" s="104" t="s">
        <v>43</v>
      </c>
      <c r="C10" s="104">
        <v>9990000000</v>
      </c>
      <c r="D10" s="104"/>
      <c r="E10" s="105" t="s">
        <v>155</v>
      </c>
      <c r="F10" s="21">
        <f>F11</f>
        <v>2314.1000000000004</v>
      </c>
      <c r="G10" s="21">
        <f t="shared" si="1"/>
        <v>2314.1</v>
      </c>
    </row>
    <row r="11" spans="1:7" ht="12.75">
      <c r="A11" s="104" t="s">
        <v>19</v>
      </c>
      <c r="B11" s="104" t="s">
        <v>43</v>
      </c>
      <c r="C11" s="104">
        <v>9990021000</v>
      </c>
      <c r="D11" s="24"/>
      <c r="E11" s="105" t="s">
        <v>156</v>
      </c>
      <c r="F11" s="21">
        <f>F12</f>
        <v>2314.1000000000004</v>
      </c>
      <c r="G11" s="21">
        <f t="shared" si="1"/>
        <v>2314.1</v>
      </c>
    </row>
    <row r="12" spans="1:7" ht="78.75">
      <c r="A12" s="104" t="s">
        <v>19</v>
      </c>
      <c r="B12" s="104" t="s">
        <v>43</v>
      </c>
      <c r="C12" s="104">
        <v>9990021000</v>
      </c>
      <c r="D12" s="104" t="s">
        <v>68</v>
      </c>
      <c r="E12" s="105" t="s">
        <v>1</v>
      </c>
      <c r="F12" s="21">
        <f>F13</f>
        <v>2314.1000000000004</v>
      </c>
      <c r="G12" s="21">
        <f t="shared" si="1"/>
        <v>2314.1</v>
      </c>
    </row>
    <row r="13" spans="1:7" ht="31.5">
      <c r="A13" s="104" t="s">
        <v>19</v>
      </c>
      <c r="B13" s="104" t="s">
        <v>43</v>
      </c>
      <c r="C13" s="104">
        <v>9990021000</v>
      </c>
      <c r="D13" s="104">
        <v>120</v>
      </c>
      <c r="E13" s="105" t="s">
        <v>246</v>
      </c>
      <c r="F13" s="21">
        <f>1648.7+20.9+644.5</f>
        <v>2314.1000000000004</v>
      </c>
      <c r="G13" s="21">
        <v>2314.1</v>
      </c>
    </row>
    <row r="14" spans="1:7" ht="63">
      <c r="A14" s="104" t="s">
        <v>19</v>
      </c>
      <c r="B14" s="104" t="s">
        <v>45</v>
      </c>
      <c r="C14" s="104" t="s">
        <v>66</v>
      </c>
      <c r="D14" s="104" t="s">
        <v>66</v>
      </c>
      <c r="E14" s="105" t="s">
        <v>22</v>
      </c>
      <c r="F14" s="21">
        <f>F15</f>
        <v>24237.199999999997</v>
      </c>
      <c r="G14" s="21">
        <f aca="true" t="shared" si="2" ref="G14">G15</f>
        <v>24237.199999999997</v>
      </c>
    </row>
    <row r="15" spans="1:7" ht="12.75">
      <c r="A15" s="104" t="s">
        <v>19</v>
      </c>
      <c r="B15" s="104" t="s">
        <v>45</v>
      </c>
      <c r="C15" s="104">
        <v>9900000000</v>
      </c>
      <c r="D15" s="104"/>
      <c r="E15" s="105" t="s">
        <v>102</v>
      </c>
      <c r="F15" s="21">
        <f>F16</f>
        <v>24237.199999999997</v>
      </c>
      <c r="G15" s="21">
        <f aca="true" t="shared" si="3" ref="G15:G16">G16</f>
        <v>24237.199999999997</v>
      </c>
    </row>
    <row r="16" spans="1:7" ht="47.25">
      <c r="A16" s="104" t="s">
        <v>19</v>
      </c>
      <c r="B16" s="104" t="s">
        <v>45</v>
      </c>
      <c r="C16" s="104">
        <v>9990000000</v>
      </c>
      <c r="D16" s="104"/>
      <c r="E16" s="105" t="s">
        <v>155</v>
      </c>
      <c r="F16" s="21">
        <f>F17</f>
        <v>24237.199999999997</v>
      </c>
      <c r="G16" s="21">
        <f t="shared" si="3"/>
        <v>24237.199999999997</v>
      </c>
    </row>
    <row r="17" spans="1:7" ht="31.5">
      <c r="A17" s="104" t="s">
        <v>19</v>
      </c>
      <c r="B17" s="104" t="s">
        <v>45</v>
      </c>
      <c r="C17" s="104">
        <v>9990200000</v>
      </c>
      <c r="D17" s="24"/>
      <c r="E17" s="105" t="s">
        <v>115</v>
      </c>
      <c r="F17" s="21">
        <f>F23+F18</f>
        <v>24237.199999999997</v>
      </c>
      <c r="G17" s="21">
        <f aca="true" t="shared" si="4" ref="G17">G23+G18</f>
        <v>24237.199999999997</v>
      </c>
    </row>
    <row r="18" spans="1:7" ht="63">
      <c r="A18" s="104" t="s">
        <v>19</v>
      </c>
      <c r="B18" s="104" t="s">
        <v>45</v>
      </c>
      <c r="C18" s="104">
        <v>9990210510</v>
      </c>
      <c r="D18" s="104"/>
      <c r="E18" s="105" t="s">
        <v>157</v>
      </c>
      <c r="F18" s="21">
        <f>F19+F21</f>
        <v>668.0999999999999</v>
      </c>
      <c r="G18" s="21">
        <f aca="true" t="shared" si="5" ref="G18">G19+G21</f>
        <v>668.0999999999999</v>
      </c>
    </row>
    <row r="19" spans="1:7" ht="78.75">
      <c r="A19" s="104" t="s">
        <v>19</v>
      </c>
      <c r="B19" s="104" t="s">
        <v>45</v>
      </c>
      <c r="C19" s="104">
        <v>9990210510</v>
      </c>
      <c r="D19" s="104" t="s">
        <v>68</v>
      </c>
      <c r="E19" s="105" t="s">
        <v>1</v>
      </c>
      <c r="F19" s="21">
        <f>F20</f>
        <v>661.8</v>
      </c>
      <c r="G19" s="21">
        <f>G20</f>
        <v>661.8</v>
      </c>
    </row>
    <row r="20" spans="1:7" ht="31.5">
      <c r="A20" s="104" t="s">
        <v>19</v>
      </c>
      <c r="B20" s="104" t="s">
        <v>45</v>
      </c>
      <c r="C20" s="104">
        <v>9990210510</v>
      </c>
      <c r="D20" s="104">
        <v>120</v>
      </c>
      <c r="E20" s="105" t="s">
        <v>246</v>
      </c>
      <c r="F20" s="21">
        <v>661.8</v>
      </c>
      <c r="G20" s="21">
        <v>661.8</v>
      </c>
    </row>
    <row r="21" spans="1:7" ht="31.5">
      <c r="A21" s="104" t="s">
        <v>19</v>
      </c>
      <c r="B21" s="104" t="s">
        <v>45</v>
      </c>
      <c r="C21" s="104">
        <v>9990210510</v>
      </c>
      <c r="D21" s="106" t="s">
        <v>69</v>
      </c>
      <c r="E21" s="105" t="s">
        <v>92</v>
      </c>
      <c r="F21" s="21">
        <f>F22</f>
        <v>6.3</v>
      </c>
      <c r="G21" s="21">
        <f aca="true" t="shared" si="6" ref="G21">G22</f>
        <v>6.3</v>
      </c>
    </row>
    <row r="22" spans="1:7" ht="31.5">
      <c r="A22" s="104" t="s">
        <v>19</v>
      </c>
      <c r="B22" s="104" t="s">
        <v>45</v>
      </c>
      <c r="C22" s="104">
        <v>9990210510</v>
      </c>
      <c r="D22" s="104">
        <v>240</v>
      </c>
      <c r="E22" s="105" t="s">
        <v>245</v>
      </c>
      <c r="F22" s="21">
        <v>6.3</v>
      </c>
      <c r="G22" s="21">
        <v>6.3</v>
      </c>
    </row>
    <row r="23" spans="1:7" ht="47.25">
      <c r="A23" s="104" t="s">
        <v>19</v>
      </c>
      <c r="B23" s="104" t="s">
        <v>45</v>
      </c>
      <c r="C23" s="104">
        <v>9990225000</v>
      </c>
      <c r="D23" s="104"/>
      <c r="E23" s="105" t="s">
        <v>116</v>
      </c>
      <c r="F23" s="21">
        <f>F24+F26</f>
        <v>23569.1</v>
      </c>
      <c r="G23" s="21">
        <f aca="true" t="shared" si="7" ref="G23">G24+G26</f>
        <v>23569.1</v>
      </c>
    </row>
    <row r="24" spans="1:7" ht="78.75">
      <c r="A24" s="104" t="s">
        <v>19</v>
      </c>
      <c r="B24" s="104" t="s">
        <v>45</v>
      </c>
      <c r="C24" s="104">
        <v>9990225000</v>
      </c>
      <c r="D24" s="104" t="s">
        <v>68</v>
      </c>
      <c r="E24" s="105" t="s">
        <v>1</v>
      </c>
      <c r="F24" s="21">
        <f>F25</f>
        <v>23489.6</v>
      </c>
      <c r="G24" s="21">
        <f>G25</f>
        <v>23489.6</v>
      </c>
    </row>
    <row r="25" spans="1:7" ht="31.5">
      <c r="A25" s="104" t="s">
        <v>19</v>
      </c>
      <c r="B25" s="104" t="s">
        <v>45</v>
      </c>
      <c r="C25" s="104">
        <v>9990225000</v>
      </c>
      <c r="D25" s="104">
        <v>120</v>
      </c>
      <c r="E25" s="105" t="s">
        <v>246</v>
      </c>
      <c r="F25" s="21">
        <f>22942.9-20.9+567.6</f>
        <v>23489.6</v>
      </c>
      <c r="G25" s="21">
        <v>23489.6</v>
      </c>
    </row>
    <row r="26" spans="1:7" ht="12.75">
      <c r="A26" s="104" t="s">
        <v>19</v>
      </c>
      <c r="B26" s="104" t="s">
        <v>45</v>
      </c>
      <c r="C26" s="104">
        <v>9990225000</v>
      </c>
      <c r="D26" s="104" t="s">
        <v>70</v>
      </c>
      <c r="E26" s="105" t="s">
        <v>71</v>
      </c>
      <c r="F26" s="21">
        <f>F27</f>
        <v>79.5</v>
      </c>
      <c r="G26" s="21">
        <f aca="true" t="shared" si="8" ref="G26">G27</f>
        <v>79.5</v>
      </c>
    </row>
    <row r="27" spans="1:7" ht="12.75">
      <c r="A27" s="104" t="s">
        <v>19</v>
      </c>
      <c r="B27" s="104" t="s">
        <v>45</v>
      </c>
      <c r="C27" s="104">
        <v>9990225000</v>
      </c>
      <c r="D27" s="104">
        <v>850</v>
      </c>
      <c r="E27" s="105" t="s">
        <v>97</v>
      </c>
      <c r="F27" s="21">
        <v>79.5</v>
      </c>
      <c r="G27" s="21">
        <v>79.5</v>
      </c>
    </row>
    <row r="28" spans="1:7" ht="12.75">
      <c r="A28" s="104" t="s">
        <v>19</v>
      </c>
      <c r="B28" s="9" t="s">
        <v>163</v>
      </c>
      <c r="C28" s="10"/>
      <c r="D28" s="12"/>
      <c r="E28" s="42" t="s">
        <v>164</v>
      </c>
      <c r="F28" s="21">
        <f>F29</f>
        <v>32.2</v>
      </c>
      <c r="G28" s="21">
        <f aca="true" t="shared" si="9" ref="G28">G29</f>
        <v>31.9</v>
      </c>
    </row>
    <row r="29" spans="1:7" ht="12.75">
      <c r="A29" s="104" t="s">
        <v>19</v>
      </c>
      <c r="B29" s="9" t="s">
        <v>163</v>
      </c>
      <c r="C29" s="104">
        <v>9900000000</v>
      </c>
      <c r="D29" s="104"/>
      <c r="E29" s="105" t="s">
        <v>102</v>
      </c>
      <c r="F29" s="21">
        <f>F30</f>
        <v>32.2</v>
      </c>
      <c r="G29" s="21">
        <f aca="true" t="shared" si="10" ref="G29:G32">G30</f>
        <v>31.9</v>
      </c>
    </row>
    <row r="30" spans="1:7" ht="31.5">
      <c r="A30" s="104" t="s">
        <v>19</v>
      </c>
      <c r="B30" s="9" t="s">
        <v>163</v>
      </c>
      <c r="C30" s="104">
        <v>9930000000</v>
      </c>
      <c r="D30" s="104"/>
      <c r="E30" s="105" t="s">
        <v>165</v>
      </c>
      <c r="F30" s="21">
        <f>F31</f>
        <v>32.2</v>
      </c>
      <c r="G30" s="21">
        <f t="shared" si="10"/>
        <v>31.9</v>
      </c>
    </row>
    <row r="31" spans="1:7" ht="63">
      <c r="A31" s="104" t="s">
        <v>19</v>
      </c>
      <c r="B31" s="9" t="s">
        <v>163</v>
      </c>
      <c r="C31" s="104">
        <v>9930051200</v>
      </c>
      <c r="D31" s="104"/>
      <c r="E31" s="105" t="s">
        <v>166</v>
      </c>
      <c r="F31" s="21">
        <f>F32</f>
        <v>32.2</v>
      </c>
      <c r="G31" s="21">
        <f t="shared" si="10"/>
        <v>31.9</v>
      </c>
    </row>
    <row r="32" spans="1:7" ht="31.5">
      <c r="A32" s="104" t="s">
        <v>19</v>
      </c>
      <c r="B32" s="9" t="s">
        <v>163</v>
      </c>
      <c r="C32" s="104">
        <v>9930051200</v>
      </c>
      <c r="D32" s="104" t="s">
        <v>69</v>
      </c>
      <c r="E32" s="105" t="s">
        <v>92</v>
      </c>
      <c r="F32" s="21">
        <f>F33</f>
        <v>32.2</v>
      </c>
      <c r="G32" s="21">
        <f t="shared" si="10"/>
        <v>31.9</v>
      </c>
    </row>
    <row r="33" spans="1:7" ht="31.5">
      <c r="A33" s="104" t="s">
        <v>19</v>
      </c>
      <c r="B33" s="9" t="s">
        <v>163</v>
      </c>
      <c r="C33" s="104">
        <v>9930051200</v>
      </c>
      <c r="D33" s="104">
        <v>240</v>
      </c>
      <c r="E33" s="105" t="s">
        <v>245</v>
      </c>
      <c r="F33" s="21">
        <v>32.2</v>
      </c>
      <c r="G33" s="21">
        <v>31.9</v>
      </c>
    </row>
    <row r="34" spans="1:7" ht="31.5">
      <c r="A34" s="104" t="s">
        <v>19</v>
      </c>
      <c r="B34" s="61" t="s">
        <v>234</v>
      </c>
      <c r="C34" s="60"/>
      <c r="D34" s="60"/>
      <c r="E34" s="62" t="s">
        <v>236</v>
      </c>
      <c r="F34" s="21">
        <f aca="true" t="shared" si="11" ref="F34:F39">F35</f>
        <v>88.6</v>
      </c>
      <c r="G34" s="21">
        <f aca="true" t="shared" si="12" ref="G34:G39">G35</f>
        <v>88.6</v>
      </c>
    </row>
    <row r="35" spans="1:7" ht="47.25">
      <c r="A35" s="104" t="s">
        <v>19</v>
      </c>
      <c r="B35" s="9" t="s">
        <v>234</v>
      </c>
      <c r="C35" s="106">
        <v>1200000000</v>
      </c>
      <c r="D35" s="104"/>
      <c r="E35" s="105" t="s">
        <v>187</v>
      </c>
      <c r="F35" s="21">
        <f t="shared" si="11"/>
        <v>88.6</v>
      </c>
      <c r="G35" s="21">
        <f t="shared" si="12"/>
        <v>88.6</v>
      </c>
    </row>
    <row r="36" spans="1:7" ht="47.25">
      <c r="A36" s="104" t="s">
        <v>19</v>
      </c>
      <c r="B36" s="9" t="s">
        <v>234</v>
      </c>
      <c r="C36" s="104">
        <v>1240000000</v>
      </c>
      <c r="D36" s="104"/>
      <c r="E36" s="105" t="s">
        <v>133</v>
      </c>
      <c r="F36" s="21">
        <f t="shared" si="11"/>
        <v>88.6</v>
      </c>
      <c r="G36" s="21">
        <f t="shared" si="12"/>
        <v>88.6</v>
      </c>
    </row>
    <row r="37" spans="1:7" ht="31.5">
      <c r="A37" s="104" t="s">
        <v>19</v>
      </c>
      <c r="B37" s="22" t="s">
        <v>234</v>
      </c>
      <c r="C37" s="104">
        <v>1240500000</v>
      </c>
      <c r="D37" s="104"/>
      <c r="E37" s="105" t="s">
        <v>134</v>
      </c>
      <c r="F37" s="21">
        <f t="shared" si="11"/>
        <v>88.6</v>
      </c>
      <c r="G37" s="21">
        <f t="shared" si="12"/>
        <v>88.6</v>
      </c>
    </row>
    <row r="38" spans="1:7" ht="31.5">
      <c r="A38" s="104" t="s">
        <v>19</v>
      </c>
      <c r="B38" s="9" t="s">
        <v>234</v>
      </c>
      <c r="C38" s="104">
        <v>1240520410</v>
      </c>
      <c r="D38" s="104"/>
      <c r="E38" s="105" t="s">
        <v>222</v>
      </c>
      <c r="F38" s="21">
        <f t="shared" si="11"/>
        <v>88.6</v>
      </c>
      <c r="G38" s="21">
        <f t="shared" si="12"/>
        <v>88.6</v>
      </c>
    </row>
    <row r="39" spans="1:7" ht="12.75">
      <c r="A39" s="104" t="s">
        <v>19</v>
      </c>
      <c r="B39" s="9" t="s">
        <v>234</v>
      </c>
      <c r="C39" s="104">
        <v>1240520410</v>
      </c>
      <c r="D39" s="104" t="s">
        <v>70</v>
      </c>
      <c r="E39" s="105" t="s">
        <v>71</v>
      </c>
      <c r="F39" s="21">
        <f t="shared" si="11"/>
        <v>88.6</v>
      </c>
      <c r="G39" s="21">
        <f t="shared" si="12"/>
        <v>88.6</v>
      </c>
    </row>
    <row r="40" spans="1:7" ht="31.5">
      <c r="A40" s="104" t="s">
        <v>19</v>
      </c>
      <c r="B40" s="9" t="s">
        <v>234</v>
      </c>
      <c r="C40" s="104">
        <v>1240520410</v>
      </c>
      <c r="D40" s="104">
        <v>860</v>
      </c>
      <c r="E40" s="105" t="s">
        <v>248</v>
      </c>
      <c r="F40" s="21">
        <v>88.6</v>
      </c>
      <c r="G40" s="21">
        <v>88.6</v>
      </c>
    </row>
    <row r="41" spans="1:7" ht="12.75">
      <c r="A41" s="104" t="s">
        <v>19</v>
      </c>
      <c r="B41" s="104" t="s">
        <v>60</v>
      </c>
      <c r="C41" s="104" t="s">
        <v>66</v>
      </c>
      <c r="D41" s="104" t="s">
        <v>66</v>
      </c>
      <c r="E41" s="105" t="s">
        <v>23</v>
      </c>
      <c r="F41" s="21">
        <f>F42+F60+F84+F66</f>
        <v>30143.3</v>
      </c>
      <c r="G41" s="21">
        <f>G42+G60+G84+G66</f>
        <v>30061.399999999998</v>
      </c>
    </row>
    <row r="42" spans="1:7" ht="47.25">
      <c r="A42" s="104" t="s">
        <v>19</v>
      </c>
      <c r="B42" s="104" t="s">
        <v>60</v>
      </c>
      <c r="C42" s="106">
        <v>1200000000</v>
      </c>
      <c r="D42" s="104"/>
      <c r="E42" s="105" t="s">
        <v>187</v>
      </c>
      <c r="F42" s="21">
        <f>F43</f>
        <v>700.5</v>
      </c>
      <c r="G42" s="21">
        <f aca="true" t="shared" si="13" ref="G42">G43</f>
        <v>665</v>
      </c>
    </row>
    <row r="43" spans="1:7" ht="47.25">
      <c r="A43" s="104" t="s">
        <v>19</v>
      </c>
      <c r="B43" s="104" t="s">
        <v>60</v>
      </c>
      <c r="C43" s="104">
        <v>1240000000</v>
      </c>
      <c r="D43" s="104"/>
      <c r="E43" s="105" t="s">
        <v>133</v>
      </c>
      <c r="F43" s="21">
        <f>F44+F53</f>
        <v>700.5</v>
      </c>
      <c r="G43" s="21">
        <f aca="true" t="shared" si="14" ref="G43">G44+G53</f>
        <v>665</v>
      </c>
    </row>
    <row r="44" spans="1:7" ht="31.5">
      <c r="A44" s="104" t="s">
        <v>19</v>
      </c>
      <c r="B44" s="104" t="s">
        <v>60</v>
      </c>
      <c r="C44" s="104">
        <v>1240200000</v>
      </c>
      <c r="D44" s="104"/>
      <c r="E44" s="105" t="s">
        <v>152</v>
      </c>
      <c r="F44" s="21">
        <f>F45+F50</f>
        <v>121.79999999999998</v>
      </c>
      <c r="G44" s="21">
        <f aca="true" t="shared" si="15" ref="G44">G45+G50</f>
        <v>96.2</v>
      </c>
    </row>
    <row r="45" spans="1:7" ht="31.5">
      <c r="A45" s="104" t="s">
        <v>19</v>
      </c>
      <c r="B45" s="104" t="s">
        <v>60</v>
      </c>
      <c r="C45" s="104">
        <v>1240220340</v>
      </c>
      <c r="D45" s="104"/>
      <c r="E45" s="105" t="s">
        <v>158</v>
      </c>
      <c r="F45" s="21">
        <f>F46+F48</f>
        <v>115.19999999999999</v>
      </c>
      <c r="G45" s="21">
        <f aca="true" t="shared" si="16" ref="G45">G46+G48</f>
        <v>89.7</v>
      </c>
    </row>
    <row r="46" spans="1:7" ht="31.5">
      <c r="A46" s="104" t="s">
        <v>19</v>
      </c>
      <c r="B46" s="104" t="s">
        <v>60</v>
      </c>
      <c r="C46" s="104">
        <v>1240220340</v>
      </c>
      <c r="D46" s="106" t="s">
        <v>69</v>
      </c>
      <c r="E46" s="105" t="s">
        <v>92</v>
      </c>
      <c r="F46" s="21">
        <f>F47</f>
        <v>90.5</v>
      </c>
      <c r="G46" s="21">
        <f aca="true" t="shared" si="17" ref="G46">G47</f>
        <v>89.7</v>
      </c>
    </row>
    <row r="47" spans="1:7" ht="31.5">
      <c r="A47" s="104" t="s">
        <v>19</v>
      </c>
      <c r="B47" s="104" t="s">
        <v>60</v>
      </c>
      <c r="C47" s="104">
        <v>1240220340</v>
      </c>
      <c r="D47" s="104">
        <v>240</v>
      </c>
      <c r="E47" s="105" t="s">
        <v>245</v>
      </c>
      <c r="F47" s="21">
        <f>82.9+7.6</f>
        <v>90.5</v>
      </c>
      <c r="G47" s="21">
        <v>89.7</v>
      </c>
    </row>
    <row r="48" spans="1:7" ht="12.75">
      <c r="A48" s="104" t="s">
        <v>19</v>
      </c>
      <c r="B48" s="104" t="s">
        <v>60</v>
      </c>
      <c r="C48" s="104">
        <v>1240220340</v>
      </c>
      <c r="D48" s="106" t="s">
        <v>73</v>
      </c>
      <c r="E48" s="105" t="s">
        <v>74</v>
      </c>
      <c r="F48" s="21">
        <f>F49</f>
        <v>24.699999999999996</v>
      </c>
      <c r="G48" s="21">
        <f aca="true" t="shared" si="18" ref="G48">G49</f>
        <v>0</v>
      </c>
    </row>
    <row r="49" spans="1:7" ht="12.75">
      <c r="A49" s="104" t="s">
        <v>19</v>
      </c>
      <c r="B49" s="104" t="s">
        <v>60</v>
      </c>
      <c r="C49" s="104">
        <v>1240220340</v>
      </c>
      <c r="D49" s="104">
        <v>350</v>
      </c>
      <c r="E49" s="46" t="s">
        <v>159</v>
      </c>
      <c r="F49" s="21">
        <f>32.3-7.6</f>
        <v>24.699999999999996</v>
      </c>
      <c r="G49" s="21">
        <v>0</v>
      </c>
    </row>
    <row r="50" spans="1:7" ht="31.5">
      <c r="A50" s="104" t="s">
        <v>19</v>
      </c>
      <c r="B50" s="104" t="s">
        <v>60</v>
      </c>
      <c r="C50" s="104">
        <v>1240220360</v>
      </c>
      <c r="D50" s="104"/>
      <c r="E50" s="46" t="s">
        <v>249</v>
      </c>
      <c r="F50" s="21">
        <f>F51</f>
        <v>6.6</v>
      </c>
      <c r="G50" s="21">
        <f aca="true" t="shared" si="19" ref="G50:G51">G51</f>
        <v>6.5</v>
      </c>
    </row>
    <row r="51" spans="1:7" ht="12.75">
      <c r="A51" s="104" t="s">
        <v>19</v>
      </c>
      <c r="B51" s="104" t="s">
        <v>60</v>
      </c>
      <c r="C51" s="104">
        <v>1240220360</v>
      </c>
      <c r="D51" s="106" t="s">
        <v>73</v>
      </c>
      <c r="E51" s="105" t="s">
        <v>74</v>
      </c>
      <c r="F51" s="21">
        <f>F52</f>
        <v>6.6</v>
      </c>
      <c r="G51" s="21">
        <f t="shared" si="19"/>
        <v>6.5</v>
      </c>
    </row>
    <row r="52" spans="1:7" ht="12.75">
      <c r="A52" s="104" t="s">
        <v>19</v>
      </c>
      <c r="B52" s="104" t="s">
        <v>60</v>
      </c>
      <c r="C52" s="104">
        <v>1240220360</v>
      </c>
      <c r="D52" s="104">
        <v>350</v>
      </c>
      <c r="E52" s="46" t="s">
        <v>159</v>
      </c>
      <c r="F52" s="21">
        <v>6.6</v>
      </c>
      <c r="G52" s="21">
        <v>6.5</v>
      </c>
    </row>
    <row r="53" spans="1:7" ht="31.5">
      <c r="A53" s="104" t="s">
        <v>19</v>
      </c>
      <c r="B53" s="104" t="s">
        <v>60</v>
      </c>
      <c r="C53" s="104">
        <v>1240500000</v>
      </c>
      <c r="D53" s="104"/>
      <c r="E53" s="105" t="s">
        <v>134</v>
      </c>
      <c r="F53" s="21">
        <f>F54+F57</f>
        <v>578.7</v>
      </c>
      <c r="G53" s="21">
        <f aca="true" t="shared" si="20" ref="G53">G54+G57</f>
        <v>568.8</v>
      </c>
    </row>
    <row r="54" spans="1:7" ht="31.5">
      <c r="A54" s="104" t="s">
        <v>19</v>
      </c>
      <c r="B54" s="104" t="s">
        <v>60</v>
      </c>
      <c r="C54" s="104">
        <v>1240520410</v>
      </c>
      <c r="D54" s="104"/>
      <c r="E54" s="105" t="s">
        <v>222</v>
      </c>
      <c r="F54" s="21">
        <f>F55</f>
        <v>117.2</v>
      </c>
      <c r="G54" s="21">
        <f aca="true" t="shared" si="21" ref="G54:G55">G55</f>
        <v>117.1</v>
      </c>
    </row>
    <row r="55" spans="1:7" ht="12.75">
      <c r="A55" s="104" t="s">
        <v>19</v>
      </c>
      <c r="B55" s="104" t="s">
        <v>60</v>
      </c>
      <c r="C55" s="104">
        <v>1240520410</v>
      </c>
      <c r="D55" s="104" t="s">
        <v>70</v>
      </c>
      <c r="E55" s="105" t="s">
        <v>71</v>
      </c>
      <c r="F55" s="21">
        <f>F56</f>
        <v>117.2</v>
      </c>
      <c r="G55" s="21">
        <f t="shared" si="21"/>
        <v>117.1</v>
      </c>
    </row>
    <row r="56" spans="1:7" ht="12.75">
      <c r="A56" s="104" t="s">
        <v>19</v>
      </c>
      <c r="B56" s="104" t="s">
        <v>60</v>
      </c>
      <c r="C56" s="104">
        <v>1240520410</v>
      </c>
      <c r="D56" s="104">
        <v>850</v>
      </c>
      <c r="E56" s="105" t="s">
        <v>97</v>
      </c>
      <c r="F56" s="21">
        <v>117.2</v>
      </c>
      <c r="G56" s="21">
        <v>117.1</v>
      </c>
    </row>
    <row r="57" spans="1:7" ht="31.5">
      <c r="A57" s="104" t="s">
        <v>19</v>
      </c>
      <c r="B57" s="104" t="s">
        <v>60</v>
      </c>
      <c r="C57" s="104">
        <v>1240520460</v>
      </c>
      <c r="D57" s="104"/>
      <c r="E57" s="105" t="s">
        <v>237</v>
      </c>
      <c r="F57" s="21">
        <f>F58</f>
        <v>461.5</v>
      </c>
      <c r="G57" s="21">
        <f aca="true" t="shared" si="22" ref="G57:G58">G58</f>
        <v>451.7</v>
      </c>
    </row>
    <row r="58" spans="1:7" ht="31.5">
      <c r="A58" s="104" t="s">
        <v>19</v>
      </c>
      <c r="B58" s="104" t="s">
        <v>60</v>
      </c>
      <c r="C58" s="104">
        <v>1240520460</v>
      </c>
      <c r="D58" s="106" t="s">
        <v>69</v>
      </c>
      <c r="E58" s="105" t="s">
        <v>92</v>
      </c>
      <c r="F58" s="21">
        <f>F59</f>
        <v>461.5</v>
      </c>
      <c r="G58" s="21">
        <f t="shared" si="22"/>
        <v>451.7</v>
      </c>
    </row>
    <row r="59" spans="1:7" ht="31.5">
      <c r="A59" s="104" t="s">
        <v>19</v>
      </c>
      <c r="B59" s="104" t="s">
        <v>60</v>
      </c>
      <c r="C59" s="104">
        <v>1240520460</v>
      </c>
      <c r="D59" s="104">
        <v>240</v>
      </c>
      <c r="E59" s="105" t="s">
        <v>245</v>
      </c>
      <c r="F59" s="21">
        <v>461.5</v>
      </c>
      <c r="G59" s="21">
        <v>451.7</v>
      </c>
    </row>
    <row r="60" spans="1:7" ht="31.5">
      <c r="A60" s="104" t="s">
        <v>19</v>
      </c>
      <c r="B60" s="104" t="s">
        <v>60</v>
      </c>
      <c r="C60" s="106">
        <v>1500000000</v>
      </c>
      <c r="D60" s="104"/>
      <c r="E60" s="105" t="s">
        <v>188</v>
      </c>
      <c r="F60" s="21">
        <f>F61</f>
        <v>110.5</v>
      </c>
      <c r="G60" s="21">
        <f aca="true" t="shared" si="23" ref="G60:G64">G61</f>
        <v>93.8</v>
      </c>
    </row>
    <row r="61" spans="1:7" ht="31.5">
      <c r="A61" s="104" t="s">
        <v>19</v>
      </c>
      <c r="B61" s="104" t="s">
        <v>60</v>
      </c>
      <c r="C61" s="104">
        <v>1510000000</v>
      </c>
      <c r="D61" s="104"/>
      <c r="E61" s="105" t="s">
        <v>161</v>
      </c>
      <c r="F61" s="21">
        <f>F62</f>
        <v>110.5</v>
      </c>
      <c r="G61" s="21">
        <f t="shared" si="23"/>
        <v>93.8</v>
      </c>
    </row>
    <row r="62" spans="1:7" ht="63">
      <c r="A62" s="104" t="s">
        <v>19</v>
      </c>
      <c r="B62" s="104" t="s">
        <v>60</v>
      </c>
      <c r="C62" s="104">
        <v>1510200000</v>
      </c>
      <c r="D62" s="104"/>
      <c r="E62" s="105" t="s">
        <v>189</v>
      </c>
      <c r="F62" s="21">
        <f>F63</f>
        <v>110.5</v>
      </c>
      <c r="G62" s="21">
        <f t="shared" si="23"/>
        <v>93.8</v>
      </c>
    </row>
    <row r="63" spans="1:7" ht="31.5">
      <c r="A63" s="104" t="s">
        <v>19</v>
      </c>
      <c r="B63" s="104" t="s">
        <v>60</v>
      </c>
      <c r="C63" s="104">
        <v>1510220170</v>
      </c>
      <c r="D63" s="104"/>
      <c r="E63" s="105" t="s">
        <v>190</v>
      </c>
      <c r="F63" s="21">
        <f>F64</f>
        <v>110.5</v>
      </c>
      <c r="G63" s="21">
        <f t="shared" si="23"/>
        <v>93.8</v>
      </c>
    </row>
    <row r="64" spans="1:7" ht="78.75">
      <c r="A64" s="104" t="s">
        <v>19</v>
      </c>
      <c r="B64" s="104" t="s">
        <v>60</v>
      </c>
      <c r="C64" s="104">
        <v>1510220170</v>
      </c>
      <c r="D64" s="104" t="s">
        <v>68</v>
      </c>
      <c r="E64" s="105" t="s">
        <v>1</v>
      </c>
      <c r="F64" s="21">
        <f>F65</f>
        <v>110.5</v>
      </c>
      <c r="G64" s="21">
        <f t="shared" si="23"/>
        <v>93.8</v>
      </c>
    </row>
    <row r="65" spans="1:7" ht="31.5">
      <c r="A65" s="104" t="s">
        <v>19</v>
      </c>
      <c r="B65" s="104" t="s">
        <v>60</v>
      </c>
      <c r="C65" s="104">
        <v>1510220170</v>
      </c>
      <c r="D65" s="104">
        <v>120</v>
      </c>
      <c r="E65" s="105" t="s">
        <v>246</v>
      </c>
      <c r="F65" s="21">
        <v>110.5</v>
      </c>
      <c r="G65" s="21">
        <v>93.8</v>
      </c>
    </row>
    <row r="66" spans="1:7" ht="63">
      <c r="A66" s="104" t="s">
        <v>19</v>
      </c>
      <c r="B66" s="104" t="s">
        <v>60</v>
      </c>
      <c r="C66" s="106">
        <v>1600000000</v>
      </c>
      <c r="D66" s="106"/>
      <c r="E66" s="105" t="s">
        <v>111</v>
      </c>
      <c r="F66" s="21">
        <f>F79+F67</f>
        <v>4141</v>
      </c>
      <c r="G66" s="21">
        <f aca="true" t="shared" si="24" ref="G66">G79+G67</f>
        <v>4114</v>
      </c>
    </row>
    <row r="67" spans="1:7" ht="47.25">
      <c r="A67" s="104" t="s">
        <v>19</v>
      </c>
      <c r="B67" s="104" t="s">
        <v>60</v>
      </c>
      <c r="C67" s="106">
        <v>1630000000</v>
      </c>
      <c r="D67" s="104"/>
      <c r="E67" s="105" t="s">
        <v>224</v>
      </c>
      <c r="F67" s="21">
        <f>F68+F75</f>
        <v>4114.5</v>
      </c>
      <c r="G67" s="21">
        <f aca="true" t="shared" si="25" ref="G67">G68+G75</f>
        <v>4087.5</v>
      </c>
    </row>
    <row r="68" spans="1:7" ht="47.25">
      <c r="A68" s="104" t="s">
        <v>19</v>
      </c>
      <c r="B68" s="106" t="s">
        <v>60</v>
      </c>
      <c r="C68" s="104">
        <v>1630100000</v>
      </c>
      <c r="D68" s="104"/>
      <c r="E68" s="105" t="s">
        <v>225</v>
      </c>
      <c r="F68" s="21">
        <f>F69+F72</f>
        <v>3712.1</v>
      </c>
      <c r="G68" s="21">
        <f aca="true" t="shared" si="26" ref="G68">G69+G72</f>
        <v>3712.1</v>
      </c>
    </row>
    <row r="69" spans="1:7" ht="47.25">
      <c r="A69" s="104" t="s">
        <v>19</v>
      </c>
      <c r="B69" s="104" t="s">
        <v>60</v>
      </c>
      <c r="C69" s="104">
        <v>1630120180</v>
      </c>
      <c r="D69" s="104"/>
      <c r="E69" s="105" t="s">
        <v>226</v>
      </c>
      <c r="F69" s="21">
        <f>F70</f>
        <v>1428.4</v>
      </c>
      <c r="G69" s="21">
        <f aca="true" t="shared" si="27" ref="G69">G70</f>
        <v>1428.4</v>
      </c>
    </row>
    <row r="70" spans="1:7" ht="31.5">
      <c r="A70" s="104" t="s">
        <v>19</v>
      </c>
      <c r="B70" s="106" t="s">
        <v>60</v>
      </c>
      <c r="C70" s="104">
        <v>1630120180</v>
      </c>
      <c r="D70" s="104" t="s">
        <v>69</v>
      </c>
      <c r="E70" s="105" t="s">
        <v>92</v>
      </c>
      <c r="F70" s="21">
        <f>F71</f>
        <v>1428.4</v>
      </c>
      <c r="G70" s="21">
        <f aca="true" t="shared" si="28" ref="G70">G71</f>
        <v>1428.4</v>
      </c>
    </row>
    <row r="71" spans="1:7" ht="31.5">
      <c r="A71" s="104" t="s">
        <v>19</v>
      </c>
      <c r="B71" s="106" t="s">
        <v>60</v>
      </c>
      <c r="C71" s="104">
        <v>1630120180</v>
      </c>
      <c r="D71" s="104">
        <v>240</v>
      </c>
      <c r="E71" s="105" t="s">
        <v>245</v>
      </c>
      <c r="F71" s="21">
        <f>1422.9+50-44.5</f>
        <v>1428.4</v>
      </c>
      <c r="G71" s="21">
        <v>1428.4</v>
      </c>
    </row>
    <row r="72" spans="1:7" ht="47.25">
      <c r="A72" s="104" t="s">
        <v>19</v>
      </c>
      <c r="B72" s="104" t="s">
        <v>60</v>
      </c>
      <c r="C72" s="104">
        <v>1630120520</v>
      </c>
      <c r="D72" s="104"/>
      <c r="E72" s="105" t="s">
        <v>231</v>
      </c>
      <c r="F72" s="21">
        <f>F73</f>
        <v>2283.7</v>
      </c>
      <c r="G72" s="21">
        <f aca="true" t="shared" si="29" ref="G72">G73</f>
        <v>2283.7</v>
      </c>
    </row>
    <row r="73" spans="1:7" ht="31.5">
      <c r="A73" s="104" t="s">
        <v>19</v>
      </c>
      <c r="B73" s="106" t="s">
        <v>60</v>
      </c>
      <c r="C73" s="104">
        <v>1630120520</v>
      </c>
      <c r="D73" s="104" t="s">
        <v>69</v>
      </c>
      <c r="E73" s="105" t="s">
        <v>92</v>
      </c>
      <c r="F73" s="21">
        <f>F74</f>
        <v>2283.7</v>
      </c>
      <c r="G73" s="21">
        <f aca="true" t="shared" si="30" ref="G73">G74</f>
        <v>2283.7</v>
      </c>
    </row>
    <row r="74" spans="1:7" ht="31.5">
      <c r="A74" s="104" t="s">
        <v>19</v>
      </c>
      <c r="B74" s="145" t="s">
        <v>60</v>
      </c>
      <c r="C74" s="104">
        <v>1630120520</v>
      </c>
      <c r="D74" s="104">
        <v>240</v>
      </c>
      <c r="E74" s="105" t="s">
        <v>245</v>
      </c>
      <c r="F74" s="21">
        <f>489.2+1750+44.5</f>
        <v>2283.7</v>
      </c>
      <c r="G74" s="21">
        <v>2283.7</v>
      </c>
    </row>
    <row r="75" spans="1:7" ht="47.25">
      <c r="A75" s="104" t="s">
        <v>19</v>
      </c>
      <c r="B75" s="104" t="s">
        <v>60</v>
      </c>
      <c r="C75" s="104">
        <v>1630200000</v>
      </c>
      <c r="D75" s="104"/>
      <c r="E75" s="105" t="s">
        <v>227</v>
      </c>
      <c r="F75" s="21">
        <f>F76</f>
        <v>402.4</v>
      </c>
      <c r="G75" s="21">
        <f aca="true" t="shared" si="31" ref="G75">G76</f>
        <v>375.4</v>
      </c>
    </row>
    <row r="76" spans="1:7" ht="31.5">
      <c r="A76" s="104" t="s">
        <v>19</v>
      </c>
      <c r="B76" s="106" t="s">
        <v>60</v>
      </c>
      <c r="C76" s="104">
        <v>1630220530</v>
      </c>
      <c r="D76" s="104"/>
      <c r="E76" s="105" t="s">
        <v>228</v>
      </c>
      <c r="F76" s="21">
        <f>F77</f>
        <v>402.4</v>
      </c>
      <c r="G76" s="21">
        <f aca="true" t="shared" si="32" ref="G76:G77">G77</f>
        <v>375.4</v>
      </c>
    </row>
    <row r="77" spans="1:7" ht="31.5">
      <c r="A77" s="104" t="s">
        <v>19</v>
      </c>
      <c r="B77" s="106" t="s">
        <v>60</v>
      </c>
      <c r="C77" s="104">
        <v>1630220530</v>
      </c>
      <c r="D77" s="104" t="s">
        <v>69</v>
      </c>
      <c r="E77" s="105" t="s">
        <v>92</v>
      </c>
      <c r="F77" s="21">
        <f>F78</f>
        <v>402.4</v>
      </c>
      <c r="G77" s="21">
        <f t="shared" si="32"/>
        <v>375.4</v>
      </c>
    </row>
    <row r="78" spans="1:7" ht="31.5">
      <c r="A78" s="104" t="s">
        <v>19</v>
      </c>
      <c r="B78" s="104" t="s">
        <v>60</v>
      </c>
      <c r="C78" s="104">
        <v>1630220530</v>
      </c>
      <c r="D78" s="104">
        <v>240</v>
      </c>
      <c r="E78" s="105" t="s">
        <v>245</v>
      </c>
      <c r="F78" s="21">
        <v>402.4</v>
      </c>
      <c r="G78" s="21">
        <v>375.4</v>
      </c>
    </row>
    <row r="79" spans="1:7" ht="47.25">
      <c r="A79" s="104" t="s">
        <v>19</v>
      </c>
      <c r="B79" s="104" t="s">
        <v>60</v>
      </c>
      <c r="C79" s="106">
        <v>1640000000</v>
      </c>
      <c r="D79" s="1"/>
      <c r="E79" s="46" t="s">
        <v>217</v>
      </c>
      <c r="F79" s="21">
        <f>F80</f>
        <v>26.5</v>
      </c>
      <c r="G79" s="21">
        <f aca="true" t="shared" si="33" ref="G79">G80</f>
        <v>26.5</v>
      </c>
    </row>
    <row r="80" spans="1:7" ht="31.5">
      <c r="A80" s="104" t="s">
        <v>19</v>
      </c>
      <c r="B80" s="104" t="s">
        <v>60</v>
      </c>
      <c r="C80" s="104">
        <v>1640200000</v>
      </c>
      <c r="D80" s="1"/>
      <c r="E80" s="46" t="s">
        <v>220</v>
      </c>
      <c r="F80" s="21">
        <f>F81</f>
        <v>26.5</v>
      </c>
      <c r="G80" s="21">
        <f aca="true" t="shared" si="34" ref="G80:G82">G81</f>
        <v>26.5</v>
      </c>
    </row>
    <row r="81" spans="1:7" ht="12.75">
      <c r="A81" s="104" t="s">
        <v>19</v>
      </c>
      <c r="B81" s="104" t="s">
        <v>60</v>
      </c>
      <c r="C81" s="104">
        <v>1640220250</v>
      </c>
      <c r="D81" s="1"/>
      <c r="E81" s="46" t="s">
        <v>218</v>
      </c>
      <c r="F81" s="21">
        <f>F82</f>
        <v>26.5</v>
      </c>
      <c r="G81" s="21">
        <f t="shared" si="34"/>
        <v>26.5</v>
      </c>
    </row>
    <row r="82" spans="1:7" ht="31.5">
      <c r="A82" s="104" t="s">
        <v>19</v>
      </c>
      <c r="B82" s="104" t="s">
        <v>60</v>
      </c>
      <c r="C82" s="104">
        <v>1640220250</v>
      </c>
      <c r="D82" s="106" t="s">
        <v>69</v>
      </c>
      <c r="E82" s="105" t="s">
        <v>92</v>
      </c>
      <c r="F82" s="21">
        <f>F83</f>
        <v>26.5</v>
      </c>
      <c r="G82" s="21">
        <f t="shared" si="34"/>
        <v>26.5</v>
      </c>
    </row>
    <row r="83" spans="1:7" ht="31.5">
      <c r="A83" s="104" t="s">
        <v>19</v>
      </c>
      <c r="B83" s="104" t="s">
        <v>60</v>
      </c>
      <c r="C83" s="104">
        <v>1640220250</v>
      </c>
      <c r="D83" s="104">
        <v>240</v>
      </c>
      <c r="E83" s="105" t="s">
        <v>245</v>
      </c>
      <c r="F83" s="21">
        <v>26.5</v>
      </c>
      <c r="G83" s="21">
        <v>26.5</v>
      </c>
    </row>
    <row r="84" spans="1:7" ht="12.75">
      <c r="A84" s="104" t="s">
        <v>19</v>
      </c>
      <c r="B84" s="104" t="s">
        <v>60</v>
      </c>
      <c r="C84" s="104">
        <v>9900000000</v>
      </c>
      <c r="D84" s="104"/>
      <c r="E84" s="105" t="s">
        <v>102</v>
      </c>
      <c r="F84" s="21">
        <f>F92+F85</f>
        <v>25191.3</v>
      </c>
      <c r="G84" s="21">
        <f>G92+G85</f>
        <v>25188.6</v>
      </c>
    </row>
    <row r="85" spans="1:7" ht="31.5">
      <c r="A85" s="104" t="s">
        <v>19</v>
      </c>
      <c r="B85" s="104" t="s">
        <v>60</v>
      </c>
      <c r="C85" s="104">
        <v>9930000000</v>
      </c>
      <c r="D85" s="104"/>
      <c r="E85" s="54" t="s">
        <v>165</v>
      </c>
      <c r="F85" s="21">
        <f>F89+F86</f>
        <v>719.3000000000001</v>
      </c>
      <c r="G85" s="21">
        <f aca="true" t="shared" si="35" ref="G85">G89+G86</f>
        <v>719.2</v>
      </c>
    </row>
    <row r="86" spans="1:7" ht="31.5">
      <c r="A86" s="137" t="s">
        <v>19</v>
      </c>
      <c r="B86" s="137" t="s">
        <v>60</v>
      </c>
      <c r="C86" s="137">
        <v>9930020490</v>
      </c>
      <c r="D86" s="137"/>
      <c r="E86" s="54" t="s">
        <v>367</v>
      </c>
      <c r="F86" s="21">
        <f>F87</f>
        <v>3</v>
      </c>
      <c r="G86" s="21">
        <f aca="true" t="shared" si="36" ref="G86:G87">G87</f>
        <v>3</v>
      </c>
    </row>
    <row r="87" spans="1:7" ht="12.75">
      <c r="A87" s="137" t="s">
        <v>19</v>
      </c>
      <c r="B87" s="137" t="s">
        <v>60</v>
      </c>
      <c r="C87" s="137">
        <v>9930020490</v>
      </c>
      <c r="D87" s="11" t="s">
        <v>70</v>
      </c>
      <c r="E87" s="42" t="s">
        <v>71</v>
      </c>
      <c r="F87" s="21">
        <f>F88</f>
        <v>3</v>
      </c>
      <c r="G87" s="21">
        <f t="shared" si="36"/>
        <v>3</v>
      </c>
    </row>
    <row r="88" spans="1:7" ht="12.75">
      <c r="A88" s="137" t="s">
        <v>19</v>
      </c>
      <c r="B88" s="137" t="s">
        <v>60</v>
      </c>
      <c r="C88" s="137">
        <v>9930020490</v>
      </c>
      <c r="D88" s="1" t="s">
        <v>368</v>
      </c>
      <c r="E88" s="57" t="s">
        <v>369</v>
      </c>
      <c r="F88" s="21">
        <v>3</v>
      </c>
      <c r="G88" s="21">
        <v>3</v>
      </c>
    </row>
    <row r="89" spans="1:7" ht="47.25">
      <c r="A89" s="104" t="s">
        <v>19</v>
      </c>
      <c r="B89" s="104" t="s">
        <v>60</v>
      </c>
      <c r="C89" s="104">
        <v>9930054690</v>
      </c>
      <c r="D89" s="104"/>
      <c r="E89" s="54" t="s">
        <v>340</v>
      </c>
      <c r="F89" s="21">
        <f>F90</f>
        <v>716.3000000000001</v>
      </c>
      <c r="G89" s="21">
        <f aca="true" t="shared" si="37" ref="G89:G90">G90</f>
        <v>716.2</v>
      </c>
    </row>
    <row r="90" spans="1:7" ht="31.5">
      <c r="A90" s="104" t="s">
        <v>19</v>
      </c>
      <c r="B90" s="104" t="s">
        <v>60</v>
      </c>
      <c r="C90" s="104">
        <v>9930054690</v>
      </c>
      <c r="D90" s="104" t="s">
        <v>69</v>
      </c>
      <c r="E90" s="105" t="s">
        <v>92</v>
      </c>
      <c r="F90" s="21">
        <f>F91</f>
        <v>716.3000000000001</v>
      </c>
      <c r="G90" s="21">
        <f t="shared" si="37"/>
        <v>716.2</v>
      </c>
    </row>
    <row r="91" spans="1:7" ht="31.5">
      <c r="A91" s="104" t="s">
        <v>19</v>
      </c>
      <c r="B91" s="104" t="s">
        <v>60</v>
      </c>
      <c r="C91" s="104">
        <v>9930054690</v>
      </c>
      <c r="D91" s="104">
        <v>240</v>
      </c>
      <c r="E91" s="105" t="s">
        <v>245</v>
      </c>
      <c r="F91" s="21">
        <f>739.1-22.8</f>
        <v>716.3000000000001</v>
      </c>
      <c r="G91" s="21">
        <v>716.2</v>
      </c>
    </row>
    <row r="92" spans="1:7" ht="47.25">
      <c r="A92" s="104" t="s">
        <v>19</v>
      </c>
      <c r="B92" s="104" t="s">
        <v>60</v>
      </c>
      <c r="C92" s="104">
        <v>9990000000</v>
      </c>
      <c r="D92" s="104"/>
      <c r="E92" s="105" t="s">
        <v>155</v>
      </c>
      <c r="F92" s="21">
        <f>F93+F97</f>
        <v>24472</v>
      </c>
      <c r="G92" s="21">
        <f>G93+G97</f>
        <v>24469.399999999998</v>
      </c>
    </row>
    <row r="93" spans="1:7" ht="31.5">
      <c r="A93" s="104" t="s">
        <v>19</v>
      </c>
      <c r="B93" s="104" t="s">
        <v>60</v>
      </c>
      <c r="C93" s="104">
        <v>9990200000</v>
      </c>
      <c r="D93" s="24"/>
      <c r="E93" s="105" t="s">
        <v>115</v>
      </c>
      <c r="F93" s="21">
        <f>F94</f>
        <v>266.5</v>
      </c>
      <c r="G93" s="21">
        <f aca="true" t="shared" si="38" ref="G93:G94">G94</f>
        <v>266.5</v>
      </c>
    </row>
    <row r="94" spans="1:7" ht="78.75">
      <c r="A94" s="104" t="s">
        <v>19</v>
      </c>
      <c r="B94" s="104" t="s">
        <v>60</v>
      </c>
      <c r="C94" s="104">
        <v>9990210540</v>
      </c>
      <c r="D94" s="104"/>
      <c r="E94" s="105" t="s">
        <v>162</v>
      </c>
      <c r="F94" s="21">
        <f>F95</f>
        <v>266.5</v>
      </c>
      <c r="G94" s="21">
        <f t="shared" si="38"/>
        <v>266.5</v>
      </c>
    </row>
    <row r="95" spans="1:7" ht="78.75">
      <c r="A95" s="104" t="s">
        <v>19</v>
      </c>
      <c r="B95" s="104" t="s">
        <v>60</v>
      </c>
      <c r="C95" s="104">
        <v>9990210540</v>
      </c>
      <c r="D95" s="104" t="s">
        <v>68</v>
      </c>
      <c r="E95" s="105" t="s">
        <v>1</v>
      </c>
      <c r="F95" s="21">
        <f>F96</f>
        <v>266.5</v>
      </c>
      <c r="G95" s="21">
        <f>G96</f>
        <v>266.5</v>
      </c>
    </row>
    <row r="96" spans="1:7" ht="31.5">
      <c r="A96" s="104" t="s">
        <v>19</v>
      </c>
      <c r="B96" s="104" t="s">
        <v>60</v>
      </c>
      <c r="C96" s="104">
        <v>9990210540</v>
      </c>
      <c r="D96" s="104">
        <v>120</v>
      </c>
      <c r="E96" s="105" t="s">
        <v>246</v>
      </c>
      <c r="F96" s="21">
        <v>266.5</v>
      </c>
      <c r="G96" s="21">
        <v>266.5</v>
      </c>
    </row>
    <row r="97" spans="1:7" ht="31.5">
      <c r="A97" s="104" t="s">
        <v>19</v>
      </c>
      <c r="B97" s="104" t="s">
        <v>60</v>
      </c>
      <c r="C97" s="104">
        <v>9990300000</v>
      </c>
      <c r="D97" s="104"/>
      <c r="E97" s="105" t="s">
        <v>167</v>
      </c>
      <c r="F97" s="21">
        <f>F98+F100+F102</f>
        <v>24205.5</v>
      </c>
      <c r="G97" s="21">
        <f aca="true" t="shared" si="39" ref="G97">G98+G100+G102</f>
        <v>24202.899999999998</v>
      </c>
    </row>
    <row r="98" spans="1:7" ht="78.75">
      <c r="A98" s="104" t="s">
        <v>19</v>
      </c>
      <c r="B98" s="104" t="s">
        <v>60</v>
      </c>
      <c r="C98" s="104">
        <v>9990300000</v>
      </c>
      <c r="D98" s="104" t="s">
        <v>68</v>
      </c>
      <c r="E98" s="105" t="s">
        <v>1</v>
      </c>
      <c r="F98" s="21">
        <f>F99</f>
        <v>16621.8</v>
      </c>
      <c r="G98" s="21">
        <f aca="true" t="shared" si="40" ref="G98">G99</f>
        <v>16621.8</v>
      </c>
    </row>
    <row r="99" spans="1:7" ht="12.75">
      <c r="A99" s="104" t="s">
        <v>19</v>
      </c>
      <c r="B99" s="104" t="s">
        <v>60</v>
      </c>
      <c r="C99" s="104">
        <v>9990300000</v>
      </c>
      <c r="D99" s="104">
        <v>110</v>
      </c>
      <c r="E99" s="46" t="s">
        <v>168</v>
      </c>
      <c r="F99" s="21">
        <f>16375.8+246</f>
        <v>16621.8</v>
      </c>
      <c r="G99" s="21">
        <v>16621.8</v>
      </c>
    </row>
    <row r="100" spans="1:7" ht="31.5">
      <c r="A100" s="104" t="s">
        <v>19</v>
      </c>
      <c r="B100" s="104" t="s">
        <v>60</v>
      </c>
      <c r="C100" s="104">
        <v>9990300000</v>
      </c>
      <c r="D100" s="104" t="s">
        <v>69</v>
      </c>
      <c r="E100" s="105" t="s">
        <v>92</v>
      </c>
      <c r="F100" s="21">
        <f>F101</f>
        <v>7556.1</v>
      </c>
      <c r="G100" s="21">
        <f aca="true" t="shared" si="41" ref="G100">G101</f>
        <v>7554.3</v>
      </c>
    </row>
    <row r="101" spans="1:7" ht="31.5">
      <c r="A101" s="104" t="s">
        <v>19</v>
      </c>
      <c r="B101" s="104" t="s">
        <v>60</v>
      </c>
      <c r="C101" s="104">
        <v>9990300000</v>
      </c>
      <c r="D101" s="104">
        <v>240</v>
      </c>
      <c r="E101" s="105" t="s">
        <v>245</v>
      </c>
      <c r="F101" s="21">
        <f>7594.5+45+266.6-300-50</f>
        <v>7556.1</v>
      </c>
      <c r="G101" s="21">
        <v>7554.3</v>
      </c>
    </row>
    <row r="102" spans="1:7" ht="12.75">
      <c r="A102" s="104" t="s">
        <v>19</v>
      </c>
      <c r="B102" s="104" t="s">
        <v>60</v>
      </c>
      <c r="C102" s="104">
        <v>9990300000</v>
      </c>
      <c r="D102" s="104" t="s">
        <v>70</v>
      </c>
      <c r="E102" s="105" t="s">
        <v>71</v>
      </c>
      <c r="F102" s="21">
        <f>F103</f>
        <v>27.6</v>
      </c>
      <c r="G102" s="21">
        <f aca="true" t="shared" si="42" ref="G102">G103</f>
        <v>26.8</v>
      </c>
    </row>
    <row r="103" spans="1:7" ht="12.75">
      <c r="A103" s="104" t="s">
        <v>19</v>
      </c>
      <c r="B103" s="104" t="s">
        <v>60</v>
      </c>
      <c r="C103" s="104">
        <v>9990300000</v>
      </c>
      <c r="D103" s="104">
        <v>850</v>
      </c>
      <c r="E103" s="105" t="s">
        <v>97</v>
      </c>
      <c r="F103" s="21">
        <v>27.6</v>
      </c>
      <c r="G103" s="21">
        <v>26.8</v>
      </c>
    </row>
    <row r="104" spans="1:7" ht="31.5">
      <c r="A104" s="104" t="s">
        <v>19</v>
      </c>
      <c r="B104" s="104" t="s">
        <v>55</v>
      </c>
      <c r="C104" s="104" t="s">
        <v>66</v>
      </c>
      <c r="D104" s="104" t="s">
        <v>66</v>
      </c>
      <c r="E104" s="42" t="s">
        <v>24</v>
      </c>
      <c r="F104" s="21">
        <f>F105+F112</f>
        <v>9380.4</v>
      </c>
      <c r="G104" s="21">
        <f>G105+G112</f>
        <v>9380.4</v>
      </c>
    </row>
    <row r="105" spans="1:7" ht="12.75">
      <c r="A105" s="104" t="s">
        <v>19</v>
      </c>
      <c r="B105" s="104" t="s">
        <v>75</v>
      </c>
      <c r="C105" s="104" t="s">
        <v>66</v>
      </c>
      <c r="D105" s="104" t="s">
        <v>66</v>
      </c>
      <c r="E105" s="105" t="s">
        <v>76</v>
      </c>
      <c r="F105" s="21">
        <f aca="true" t="shared" si="43" ref="F105:F110">F106</f>
        <v>1392.2</v>
      </c>
      <c r="G105" s="21">
        <f aca="true" t="shared" si="44" ref="G105:G109">G106</f>
        <v>1392.2</v>
      </c>
    </row>
    <row r="106" spans="1:7" ht="12.75">
      <c r="A106" s="104" t="s">
        <v>19</v>
      </c>
      <c r="B106" s="104" t="s">
        <v>75</v>
      </c>
      <c r="C106" s="104">
        <v>9900000000</v>
      </c>
      <c r="D106" s="104"/>
      <c r="E106" s="105" t="s">
        <v>102</v>
      </c>
      <c r="F106" s="21">
        <f t="shared" si="43"/>
        <v>1392.2</v>
      </c>
      <c r="G106" s="21">
        <f t="shared" si="44"/>
        <v>1392.2</v>
      </c>
    </row>
    <row r="107" spans="1:7" ht="47.25">
      <c r="A107" s="104" t="s">
        <v>19</v>
      </c>
      <c r="B107" s="104" t="s">
        <v>75</v>
      </c>
      <c r="C107" s="104">
        <v>9990000000</v>
      </c>
      <c r="D107" s="104"/>
      <c r="E107" s="105" t="s">
        <v>155</v>
      </c>
      <c r="F107" s="21">
        <f t="shared" si="43"/>
        <v>1392.2</v>
      </c>
      <c r="G107" s="21">
        <f t="shared" si="44"/>
        <v>1392.2</v>
      </c>
    </row>
    <row r="108" spans="1:7" ht="31.5">
      <c r="A108" s="104" t="s">
        <v>19</v>
      </c>
      <c r="B108" s="104" t="s">
        <v>75</v>
      </c>
      <c r="C108" s="104">
        <v>9990200000</v>
      </c>
      <c r="D108" s="24"/>
      <c r="E108" s="105" t="s">
        <v>115</v>
      </c>
      <c r="F108" s="21">
        <f t="shared" si="43"/>
        <v>1392.2</v>
      </c>
      <c r="G108" s="21">
        <f t="shared" si="44"/>
        <v>1392.2</v>
      </c>
    </row>
    <row r="109" spans="1:7" ht="47.25">
      <c r="A109" s="104" t="s">
        <v>19</v>
      </c>
      <c r="B109" s="104" t="s">
        <v>75</v>
      </c>
      <c r="C109" s="104">
        <v>9990259302</v>
      </c>
      <c r="D109" s="104"/>
      <c r="E109" s="105" t="s">
        <v>169</v>
      </c>
      <c r="F109" s="21">
        <f t="shared" si="43"/>
        <v>1392.2</v>
      </c>
      <c r="G109" s="21">
        <f t="shared" si="44"/>
        <v>1392.2</v>
      </c>
    </row>
    <row r="110" spans="1:7" ht="78.75">
      <c r="A110" s="104" t="s">
        <v>19</v>
      </c>
      <c r="B110" s="104" t="s">
        <v>75</v>
      </c>
      <c r="C110" s="104">
        <v>9990259302</v>
      </c>
      <c r="D110" s="104" t="s">
        <v>68</v>
      </c>
      <c r="E110" s="105" t="s">
        <v>1</v>
      </c>
      <c r="F110" s="21">
        <f t="shared" si="43"/>
        <v>1392.2</v>
      </c>
      <c r="G110" s="21">
        <f aca="true" t="shared" si="45" ref="G110">G111</f>
        <v>1392.2</v>
      </c>
    </row>
    <row r="111" spans="1:7" ht="31.5">
      <c r="A111" s="104" t="s">
        <v>19</v>
      </c>
      <c r="B111" s="104" t="s">
        <v>75</v>
      </c>
      <c r="C111" s="104">
        <v>9990259302</v>
      </c>
      <c r="D111" s="104">
        <v>120</v>
      </c>
      <c r="E111" s="105" t="s">
        <v>246</v>
      </c>
      <c r="F111" s="21">
        <v>1392.2</v>
      </c>
      <c r="G111" s="21">
        <v>1392.2</v>
      </c>
    </row>
    <row r="112" spans="1:7" ht="47.25">
      <c r="A112" s="104" t="s">
        <v>19</v>
      </c>
      <c r="B112" s="22" t="s">
        <v>337</v>
      </c>
      <c r="C112" s="104"/>
      <c r="D112" s="104"/>
      <c r="E112" s="108" t="s">
        <v>338</v>
      </c>
      <c r="F112" s="21">
        <f aca="true" t="shared" si="46" ref="F112:G117">F113</f>
        <v>7988.2</v>
      </c>
      <c r="G112" s="21">
        <f t="shared" si="46"/>
        <v>7988.2</v>
      </c>
    </row>
    <row r="113" spans="1:7" ht="31.5">
      <c r="A113" s="104" t="s">
        <v>19</v>
      </c>
      <c r="B113" s="22" t="s">
        <v>337</v>
      </c>
      <c r="C113" s="106">
        <v>1500000000</v>
      </c>
      <c r="D113" s="104"/>
      <c r="E113" s="105" t="s">
        <v>188</v>
      </c>
      <c r="F113" s="21">
        <f>F114</f>
        <v>7988.2</v>
      </c>
      <c r="G113" s="21">
        <f t="shared" si="46"/>
        <v>7988.2</v>
      </c>
    </row>
    <row r="114" spans="1:7" ht="31.5">
      <c r="A114" s="104" t="s">
        <v>19</v>
      </c>
      <c r="B114" s="22" t="s">
        <v>337</v>
      </c>
      <c r="C114" s="104">
        <v>1510000000</v>
      </c>
      <c r="D114" s="104"/>
      <c r="E114" s="105" t="s">
        <v>161</v>
      </c>
      <c r="F114" s="21">
        <f>F115+F119</f>
        <v>7988.2</v>
      </c>
      <c r="G114" s="21">
        <f aca="true" t="shared" si="47" ref="G114">G115+G119</f>
        <v>7988.2</v>
      </c>
    </row>
    <row r="115" spans="1:7" ht="63">
      <c r="A115" s="104" t="s">
        <v>19</v>
      </c>
      <c r="B115" s="22" t="s">
        <v>337</v>
      </c>
      <c r="C115" s="104">
        <v>1510100000</v>
      </c>
      <c r="D115" s="104"/>
      <c r="E115" s="105" t="s">
        <v>191</v>
      </c>
      <c r="F115" s="21">
        <f>F116</f>
        <v>7924.2</v>
      </c>
      <c r="G115" s="21">
        <f t="shared" si="46"/>
        <v>7924.2</v>
      </c>
    </row>
    <row r="116" spans="1:7" ht="31.5">
      <c r="A116" s="104" t="s">
        <v>19</v>
      </c>
      <c r="B116" s="22" t="s">
        <v>337</v>
      </c>
      <c r="C116" s="104">
        <v>1510120010</v>
      </c>
      <c r="D116" s="104"/>
      <c r="E116" s="105" t="s">
        <v>121</v>
      </c>
      <c r="F116" s="21">
        <f t="shared" si="46"/>
        <v>7924.2</v>
      </c>
      <c r="G116" s="21">
        <f t="shared" si="46"/>
        <v>7924.2</v>
      </c>
    </row>
    <row r="117" spans="1:7" ht="31.5">
      <c r="A117" s="104" t="s">
        <v>19</v>
      </c>
      <c r="B117" s="22" t="s">
        <v>337</v>
      </c>
      <c r="C117" s="104">
        <v>1510120010</v>
      </c>
      <c r="D117" s="104">
        <v>600</v>
      </c>
      <c r="E117" s="105" t="s">
        <v>83</v>
      </c>
      <c r="F117" s="21">
        <f t="shared" si="46"/>
        <v>7924.2</v>
      </c>
      <c r="G117" s="21">
        <f t="shared" si="46"/>
        <v>7924.2</v>
      </c>
    </row>
    <row r="118" spans="1:7" ht="12.75">
      <c r="A118" s="104" t="s">
        <v>19</v>
      </c>
      <c r="B118" s="22" t="s">
        <v>337</v>
      </c>
      <c r="C118" s="104">
        <v>1510120010</v>
      </c>
      <c r="D118" s="104">
        <v>610</v>
      </c>
      <c r="E118" s="105" t="s">
        <v>101</v>
      </c>
      <c r="F118" s="21">
        <f>7924.2</f>
        <v>7924.2</v>
      </c>
      <c r="G118" s="21">
        <v>7924.2</v>
      </c>
    </row>
    <row r="119" spans="1:7" ht="78.75">
      <c r="A119" s="140" t="s">
        <v>19</v>
      </c>
      <c r="B119" s="22" t="s">
        <v>337</v>
      </c>
      <c r="C119" s="140">
        <v>1510400000</v>
      </c>
      <c r="D119" s="140"/>
      <c r="E119" s="141" t="s">
        <v>395</v>
      </c>
      <c r="F119" s="21">
        <f>F120</f>
        <v>64</v>
      </c>
      <c r="G119" s="21">
        <f aca="true" t="shared" si="48" ref="G119:G121">G120</f>
        <v>64</v>
      </c>
    </row>
    <row r="120" spans="1:7" ht="31.5">
      <c r="A120" s="140" t="s">
        <v>19</v>
      </c>
      <c r="B120" s="22" t="s">
        <v>337</v>
      </c>
      <c r="C120" s="140">
        <v>1510420030</v>
      </c>
      <c r="D120" s="140"/>
      <c r="E120" s="141" t="s">
        <v>396</v>
      </c>
      <c r="F120" s="21">
        <f>F121</f>
        <v>64</v>
      </c>
      <c r="G120" s="21">
        <f t="shared" si="48"/>
        <v>64</v>
      </c>
    </row>
    <row r="121" spans="1:7" ht="31.5">
      <c r="A121" s="140" t="s">
        <v>19</v>
      </c>
      <c r="B121" s="22" t="s">
        <v>337</v>
      </c>
      <c r="C121" s="140">
        <v>1510420030</v>
      </c>
      <c r="D121" s="140">
        <v>600</v>
      </c>
      <c r="E121" s="141" t="s">
        <v>83</v>
      </c>
      <c r="F121" s="21">
        <f>F122</f>
        <v>64</v>
      </c>
      <c r="G121" s="21">
        <f t="shared" si="48"/>
        <v>64</v>
      </c>
    </row>
    <row r="122" spans="1:7" ht="12.75">
      <c r="A122" s="140" t="s">
        <v>19</v>
      </c>
      <c r="B122" s="22" t="s">
        <v>337</v>
      </c>
      <c r="C122" s="140">
        <v>1510420030</v>
      </c>
      <c r="D122" s="140">
        <v>610</v>
      </c>
      <c r="E122" s="141" t="s">
        <v>101</v>
      </c>
      <c r="F122" s="21">
        <v>64</v>
      </c>
      <c r="G122" s="21">
        <v>64</v>
      </c>
    </row>
    <row r="123" spans="1:7" ht="12.75">
      <c r="A123" s="104" t="s">
        <v>19</v>
      </c>
      <c r="B123" s="104" t="s">
        <v>56</v>
      </c>
      <c r="C123" s="104" t="s">
        <v>66</v>
      </c>
      <c r="D123" s="104" t="s">
        <v>66</v>
      </c>
      <c r="E123" s="42" t="s">
        <v>25</v>
      </c>
      <c r="F123" s="21">
        <f>F124+F171</f>
        <v>105993.40000000001</v>
      </c>
      <c r="G123" s="21">
        <f aca="true" t="shared" si="49" ref="G123">G124+G171</f>
        <v>101227.20000000001</v>
      </c>
    </row>
    <row r="124" spans="1:7" ht="12.75">
      <c r="A124" s="104" t="s">
        <v>19</v>
      </c>
      <c r="B124" s="104" t="s">
        <v>6</v>
      </c>
      <c r="C124" s="104" t="s">
        <v>66</v>
      </c>
      <c r="D124" s="104" t="s">
        <v>66</v>
      </c>
      <c r="E124" s="105" t="s">
        <v>87</v>
      </c>
      <c r="F124" s="21">
        <f>F125+F166</f>
        <v>105813.3</v>
      </c>
      <c r="G124" s="21">
        <f>G125+G166</f>
        <v>101047.1</v>
      </c>
    </row>
    <row r="125" spans="1:7" ht="47.25">
      <c r="A125" s="104" t="s">
        <v>19</v>
      </c>
      <c r="B125" s="104" t="s">
        <v>6</v>
      </c>
      <c r="C125" s="106">
        <v>1400000000</v>
      </c>
      <c r="D125" s="104"/>
      <c r="E125" s="105" t="s">
        <v>194</v>
      </c>
      <c r="F125" s="21">
        <f>F126+F151</f>
        <v>105413.3</v>
      </c>
      <c r="G125" s="21">
        <f>G126+G151</f>
        <v>100647.1</v>
      </c>
    </row>
    <row r="126" spans="1:7" ht="12.75">
      <c r="A126" s="104" t="s">
        <v>19</v>
      </c>
      <c r="B126" s="104" t="s">
        <v>6</v>
      </c>
      <c r="C126" s="106">
        <v>1410000000</v>
      </c>
      <c r="D126" s="104"/>
      <c r="E126" s="105" t="s">
        <v>123</v>
      </c>
      <c r="F126" s="21">
        <f>F127+F131+F141</f>
        <v>101141.40000000001</v>
      </c>
      <c r="G126" s="21">
        <f aca="true" t="shared" si="50" ref="G126">G127+G131+G141</f>
        <v>98050.8</v>
      </c>
    </row>
    <row r="127" spans="1:7" ht="31.5">
      <c r="A127" s="104" t="s">
        <v>19</v>
      </c>
      <c r="B127" s="104" t="s">
        <v>6</v>
      </c>
      <c r="C127" s="106">
        <v>1410100000</v>
      </c>
      <c r="D127" s="24"/>
      <c r="E127" s="105" t="s">
        <v>195</v>
      </c>
      <c r="F127" s="21">
        <f>F128</f>
        <v>28888.9</v>
      </c>
      <c r="G127" s="21">
        <f aca="true" t="shared" si="51" ref="G127:G129">G128</f>
        <v>28875.9</v>
      </c>
    </row>
    <row r="128" spans="1:7" ht="31.5">
      <c r="A128" s="104" t="s">
        <v>19</v>
      </c>
      <c r="B128" s="104" t="s">
        <v>6</v>
      </c>
      <c r="C128" s="104">
        <v>1410120100</v>
      </c>
      <c r="D128" s="104"/>
      <c r="E128" s="105" t="s">
        <v>124</v>
      </c>
      <c r="F128" s="21">
        <f>F129</f>
        <v>28888.9</v>
      </c>
      <c r="G128" s="21">
        <f t="shared" si="51"/>
        <v>28875.9</v>
      </c>
    </row>
    <row r="129" spans="1:7" ht="31.5">
      <c r="A129" s="104" t="s">
        <v>19</v>
      </c>
      <c r="B129" s="104" t="s">
        <v>6</v>
      </c>
      <c r="C129" s="104">
        <v>1410120100</v>
      </c>
      <c r="D129" s="106" t="s">
        <v>69</v>
      </c>
      <c r="E129" s="105" t="s">
        <v>92</v>
      </c>
      <c r="F129" s="21">
        <f>F130</f>
        <v>28888.9</v>
      </c>
      <c r="G129" s="21">
        <f t="shared" si="51"/>
        <v>28875.9</v>
      </c>
    </row>
    <row r="130" spans="1:7" ht="31.5">
      <c r="A130" s="104" t="s">
        <v>19</v>
      </c>
      <c r="B130" s="104" t="s">
        <v>6</v>
      </c>
      <c r="C130" s="104">
        <v>1410120100</v>
      </c>
      <c r="D130" s="104">
        <v>240</v>
      </c>
      <c r="E130" s="105" t="s">
        <v>245</v>
      </c>
      <c r="F130" s="21">
        <f>26860.4+2028.5</f>
        <v>28888.9</v>
      </c>
      <c r="G130" s="21">
        <v>28875.9</v>
      </c>
    </row>
    <row r="131" spans="1:7" ht="47.25">
      <c r="A131" s="104" t="s">
        <v>19</v>
      </c>
      <c r="B131" s="104" t="s">
        <v>6</v>
      </c>
      <c r="C131" s="106">
        <v>1410200000</v>
      </c>
      <c r="D131" s="104"/>
      <c r="E131" s="105" t="s">
        <v>196</v>
      </c>
      <c r="F131" s="21">
        <f>F135+F132+F138</f>
        <v>59779.2</v>
      </c>
      <c r="G131" s="21">
        <f aca="true" t="shared" si="52" ref="G131">G135+G132+G138</f>
        <v>56940.7</v>
      </c>
    </row>
    <row r="132" spans="1:7" ht="31.5">
      <c r="A132" s="104" t="s">
        <v>19</v>
      </c>
      <c r="B132" s="104" t="s">
        <v>6</v>
      </c>
      <c r="C132" s="104">
        <v>1410211050</v>
      </c>
      <c r="D132" s="104"/>
      <c r="E132" s="105" t="s">
        <v>278</v>
      </c>
      <c r="F132" s="21">
        <f>F133</f>
        <v>46381.1</v>
      </c>
      <c r="G132" s="21">
        <f aca="true" t="shared" si="53" ref="G132">G133</f>
        <v>44367.1</v>
      </c>
    </row>
    <row r="133" spans="1:7" ht="31.5">
      <c r="A133" s="104" t="s">
        <v>19</v>
      </c>
      <c r="B133" s="104" t="s">
        <v>6</v>
      </c>
      <c r="C133" s="104">
        <v>1410211050</v>
      </c>
      <c r="D133" s="106" t="s">
        <v>69</v>
      </c>
      <c r="E133" s="105" t="s">
        <v>92</v>
      </c>
      <c r="F133" s="21">
        <f>F134</f>
        <v>46381.1</v>
      </c>
      <c r="G133" s="21">
        <f>G134</f>
        <v>44367.1</v>
      </c>
    </row>
    <row r="134" spans="1:7" ht="31.5">
      <c r="A134" s="104" t="s">
        <v>19</v>
      </c>
      <c r="B134" s="104" t="s">
        <v>6</v>
      </c>
      <c r="C134" s="104">
        <v>1410211050</v>
      </c>
      <c r="D134" s="104">
        <v>240</v>
      </c>
      <c r="E134" s="105" t="s">
        <v>245</v>
      </c>
      <c r="F134" s="21">
        <v>46381.1</v>
      </c>
      <c r="G134" s="21">
        <v>44367.1</v>
      </c>
    </row>
    <row r="135" spans="1:7" ht="12.75">
      <c r="A135" s="104" t="s">
        <v>19</v>
      </c>
      <c r="B135" s="104" t="s">
        <v>6</v>
      </c>
      <c r="C135" s="104">
        <v>1410220110</v>
      </c>
      <c r="D135" s="104"/>
      <c r="E135" s="54" t="s">
        <v>266</v>
      </c>
      <c r="F135" s="21">
        <f>F136</f>
        <v>1512.8</v>
      </c>
      <c r="G135" s="21">
        <f aca="true" t="shared" si="54" ref="G135:G136">G136</f>
        <v>1481.8</v>
      </c>
    </row>
    <row r="136" spans="1:7" ht="31.5">
      <c r="A136" s="104" t="s">
        <v>19</v>
      </c>
      <c r="B136" s="104" t="s">
        <v>6</v>
      </c>
      <c r="C136" s="104">
        <v>1410220110</v>
      </c>
      <c r="D136" s="106" t="s">
        <v>69</v>
      </c>
      <c r="E136" s="54" t="s">
        <v>92</v>
      </c>
      <c r="F136" s="21">
        <f>F137</f>
        <v>1512.8</v>
      </c>
      <c r="G136" s="21">
        <f t="shared" si="54"/>
        <v>1481.8</v>
      </c>
    </row>
    <row r="137" spans="1:7" ht="31.5">
      <c r="A137" s="104" t="s">
        <v>19</v>
      </c>
      <c r="B137" s="104" t="s">
        <v>6</v>
      </c>
      <c r="C137" s="104">
        <v>1410220110</v>
      </c>
      <c r="D137" s="104">
        <v>240</v>
      </c>
      <c r="E137" s="54" t="s">
        <v>245</v>
      </c>
      <c r="F137" s="21">
        <f>1071.8+280+161</f>
        <v>1512.8</v>
      </c>
      <c r="G137" s="21">
        <v>1481.8</v>
      </c>
    </row>
    <row r="138" spans="1:7" ht="31.5">
      <c r="A138" s="104" t="s">
        <v>19</v>
      </c>
      <c r="B138" s="104" t="s">
        <v>6</v>
      </c>
      <c r="C138" s="104" t="s">
        <v>299</v>
      </c>
      <c r="D138" s="104"/>
      <c r="E138" s="105" t="s">
        <v>300</v>
      </c>
      <c r="F138" s="21">
        <f>F139</f>
        <v>11885.3</v>
      </c>
      <c r="G138" s="21">
        <f aca="true" t="shared" si="55" ref="G138">G139</f>
        <v>11091.8</v>
      </c>
    </row>
    <row r="139" spans="1:7" ht="31.5">
      <c r="A139" s="104" t="s">
        <v>19</v>
      </c>
      <c r="B139" s="104" t="s">
        <v>6</v>
      </c>
      <c r="C139" s="104" t="s">
        <v>299</v>
      </c>
      <c r="D139" s="106" t="s">
        <v>69</v>
      </c>
      <c r="E139" s="105" t="s">
        <v>92</v>
      </c>
      <c r="F139" s="21">
        <f>F140</f>
        <v>11885.3</v>
      </c>
      <c r="G139" s="21">
        <f>G140</f>
        <v>11091.8</v>
      </c>
    </row>
    <row r="140" spans="1:7" ht="31.5">
      <c r="A140" s="104" t="s">
        <v>19</v>
      </c>
      <c r="B140" s="104" t="s">
        <v>6</v>
      </c>
      <c r="C140" s="104" t="s">
        <v>299</v>
      </c>
      <c r="D140" s="104">
        <v>240</v>
      </c>
      <c r="E140" s="105" t="s">
        <v>245</v>
      </c>
      <c r="F140" s="21">
        <f>11595.3+290</f>
        <v>11885.3</v>
      </c>
      <c r="G140" s="21">
        <v>11091.8</v>
      </c>
    </row>
    <row r="141" spans="1:7" ht="63">
      <c r="A141" s="104" t="s">
        <v>19</v>
      </c>
      <c r="B141" s="104" t="s">
        <v>6</v>
      </c>
      <c r="C141" s="104">
        <v>1410300000</v>
      </c>
      <c r="D141" s="104"/>
      <c r="E141" s="105" t="s">
        <v>268</v>
      </c>
      <c r="F141" s="21">
        <f>F142+F148+F145</f>
        <v>12473.3</v>
      </c>
      <c r="G141" s="21">
        <f aca="true" t="shared" si="56" ref="G141">G142+G148+G145</f>
        <v>12234.2</v>
      </c>
    </row>
    <row r="142" spans="1:7" ht="47.25">
      <c r="A142" s="104" t="s">
        <v>19</v>
      </c>
      <c r="B142" s="104" t="s">
        <v>6</v>
      </c>
      <c r="C142" s="104">
        <v>1410311020</v>
      </c>
      <c r="D142" s="104"/>
      <c r="E142" s="105" t="s">
        <v>279</v>
      </c>
      <c r="F142" s="21">
        <f>F143</f>
        <v>5279.2</v>
      </c>
      <c r="G142" s="21">
        <f aca="true" t="shared" si="57" ref="G142:G143">G143</f>
        <v>5279.2</v>
      </c>
    </row>
    <row r="143" spans="1:7" ht="31.5">
      <c r="A143" s="104" t="s">
        <v>19</v>
      </c>
      <c r="B143" s="104" t="s">
        <v>6</v>
      </c>
      <c r="C143" s="104">
        <v>1410311020</v>
      </c>
      <c r="D143" s="106" t="s">
        <v>69</v>
      </c>
      <c r="E143" s="105" t="s">
        <v>92</v>
      </c>
      <c r="F143" s="21">
        <f>F144</f>
        <v>5279.2</v>
      </c>
      <c r="G143" s="21">
        <f t="shared" si="57"/>
        <v>5279.2</v>
      </c>
    </row>
    <row r="144" spans="1:7" ht="31.5">
      <c r="A144" s="104" t="s">
        <v>19</v>
      </c>
      <c r="B144" s="104" t="s">
        <v>6</v>
      </c>
      <c r="C144" s="104">
        <v>1410311020</v>
      </c>
      <c r="D144" s="104">
        <v>240</v>
      </c>
      <c r="E144" s="105" t="s">
        <v>245</v>
      </c>
      <c r="F144" s="21">
        <v>5279.2</v>
      </c>
      <c r="G144" s="21">
        <v>5279.2</v>
      </c>
    </row>
    <row r="145" spans="1:7" ht="12.75">
      <c r="A145" s="104" t="s">
        <v>19</v>
      </c>
      <c r="B145" s="104" t="s">
        <v>6</v>
      </c>
      <c r="C145" s="104">
        <v>1410320110</v>
      </c>
      <c r="D145" s="104"/>
      <c r="E145" s="54" t="s">
        <v>266</v>
      </c>
      <c r="F145" s="21">
        <f>F146</f>
        <v>62</v>
      </c>
      <c r="G145" s="21">
        <f aca="true" t="shared" si="58" ref="G145:G146">G146</f>
        <v>61.7</v>
      </c>
    </row>
    <row r="146" spans="1:7" ht="31.5">
      <c r="A146" s="104" t="s">
        <v>19</v>
      </c>
      <c r="B146" s="104" t="s">
        <v>6</v>
      </c>
      <c r="C146" s="104">
        <v>1410320110</v>
      </c>
      <c r="D146" s="106" t="s">
        <v>69</v>
      </c>
      <c r="E146" s="54" t="s">
        <v>92</v>
      </c>
      <c r="F146" s="21">
        <f>F147</f>
        <v>62</v>
      </c>
      <c r="G146" s="21">
        <f t="shared" si="58"/>
        <v>61.7</v>
      </c>
    </row>
    <row r="147" spans="1:7" ht="31.5">
      <c r="A147" s="104" t="s">
        <v>19</v>
      </c>
      <c r="B147" s="104" t="s">
        <v>6</v>
      </c>
      <c r="C147" s="104">
        <v>1410320110</v>
      </c>
      <c r="D147" s="104">
        <v>240</v>
      </c>
      <c r="E147" s="54" t="s">
        <v>245</v>
      </c>
      <c r="F147" s="21">
        <f>14+100-52</f>
        <v>62</v>
      </c>
      <c r="G147" s="21">
        <v>61.7</v>
      </c>
    </row>
    <row r="148" spans="1:7" ht="47.25">
      <c r="A148" s="104" t="s">
        <v>19</v>
      </c>
      <c r="B148" s="104" t="s">
        <v>6</v>
      </c>
      <c r="C148" s="104" t="s">
        <v>301</v>
      </c>
      <c r="D148" s="104"/>
      <c r="E148" s="105" t="s">
        <v>302</v>
      </c>
      <c r="F148" s="21">
        <f>F149</f>
        <v>7132.1</v>
      </c>
      <c r="G148" s="21">
        <f aca="true" t="shared" si="59" ref="G148:G149">G149</f>
        <v>6893.3</v>
      </c>
    </row>
    <row r="149" spans="1:7" ht="31.5">
      <c r="A149" s="104" t="s">
        <v>19</v>
      </c>
      <c r="B149" s="104" t="s">
        <v>6</v>
      </c>
      <c r="C149" s="104" t="s">
        <v>301</v>
      </c>
      <c r="D149" s="106" t="s">
        <v>69</v>
      </c>
      <c r="E149" s="105" t="s">
        <v>92</v>
      </c>
      <c r="F149" s="21">
        <f>F150</f>
        <v>7132.1</v>
      </c>
      <c r="G149" s="21">
        <f t="shared" si="59"/>
        <v>6893.3</v>
      </c>
    </row>
    <row r="150" spans="1:7" ht="31.5">
      <c r="A150" s="104" t="s">
        <v>19</v>
      </c>
      <c r="B150" s="104" t="s">
        <v>6</v>
      </c>
      <c r="C150" s="104" t="s">
        <v>301</v>
      </c>
      <c r="D150" s="104">
        <v>240</v>
      </c>
      <c r="E150" s="105" t="s">
        <v>245</v>
      </c>
      <c r="F150" s="21">
        <f>2844.7+1656.3+2631.1</f>
        <v>7132.1</v>
      </c>
      <c r="G150" s="21">
        <v>6893.3</v>
      </c>
    </row>
    <row r="151" spans="1:7" ht="31.5">
      <c r="A151" s="104" t="s">
        <v>19</v>
      </c>
      <c r="B151" s="104" t="s">
        <v>6</v>
      </c>
      <c r="C151" s="106">
        <v>1420000000</v>
      </c>
      <c r="D151" s="104"/>
      <c r="E151" s="105" t="s">
        <v>125</v>
      </c>
      <c r="F151" s="21">
        <f>F152+F156</f>
        <v>4271.9</v>
      </c>
      <c r="G151" s="21">
        <f aca="true" t="shared" si="60" ref="G151">G152+G156</f>
        <v>2596.3</v>
      </c>
    </row>
    <row r="152" spans="1:7" ht="31.5">
      <c r="A152" s="104" t="s">
        <v>19</v>
      </c>
      <c r="B152" s="104" t="s">
        <v>6</v>
      </c>
      <c r="C152" s="106">
        <v>1420100000</v>
      </c>
      <c r="D152" s="104"/>
      <c r="E152" s="105" t="s">
        <v>197</v>
      </c>
      <c r="F152" s="21">
        <f>F153</f>
        <v>1091.8</v>
      </c>
      <c r="G152" s="21">
        <f aca="true" t="shared" si="61" ref="G152">G153</f>
        <v>1091.1</v>
      </c>
    </row>
    <row r="153" spans="1:7" ht="12.75">
      <c r="A153" s="104" t="s">
        <v>19</v>
      </c>
      <c r="B153" s="104" t="s">
        <v>6</v>
      </c>
      <c r="C153" s="104">
        <v>1420120120</v>
      </c>
      <c r="D153" s="104"/>
      <c r="E153" s="105" t="s">
        <v>126</v>
      </c>
      <c r="F153" s="21">
        <f>F154</f>
        <v>1091.8</v>
      </c>
      <c r="G153" s="21">
        <f aca="true" t="shared" si="62" ref="G153:G154">G154</f>
        <v>1091.1</v>
      </c>
    </row>
    <row r="154" spans="1:7" ht="31.5">
      <c r="A154" s="104" t="s">
        <v>19</v>
      </c>
      <c r="B154" s="104" t="s">
        <v>6</v>
      </c>
      <c r="C154" s="104">
        <v>1420120120</v>
      </c>
      <c r="D154" s="106" t="s">
        <v>69</v>
      </c>
      <c r="E154" s="105" t="s">
        <v>92</v>
      </c>
      <c r="F154" s="21">
        <f>F155</f>
        <v>1091.8</v>
      </c>
      <c r="G154" s="21">
        <f t="shared" si="62"/>
        <v>1091.1</v>
      </c>
    </row>
    <row r="155" spans="1:7" ht="31.5">
      <c r="A155" s="104" t="s">
        <v>19</v>
      </c>
      <c r="B155" s="104" t="s">
        <v>6</v>
      </c>
      <c r="C155" s="104">
        <v>1420120120</v>
      </c>
      <c r="D155" s="104">
        <v>240</v>
      </c>
      <c r="E155" s="105" t="s">
        <v>245</v>
      </c>
      <c r="F155" s="21">
        <f>3500-1945.2-463</f>
        <v>1091.8</v>
      </c>
      <c r="G155" s="21">
        <v>1091.1</v>
      </c>
    </row>
    <row r="156" spans="1:7" ht="63">
      <c r="A156" s="104" t="s">
        <v>19</v>
      </c>
      <c r="B156" s="104" t="s">
        <v>6</v>
      </c>
      <c r="C156" s="104" t="s">
        <v>280</v>
      </c>
      <c r="D156" s="104"/>
      <c r="E156" s="105" t="s">
        <v>281</v>
      </c>
      <c r="F156" s="21">
        <f>F157+F163+F160</f>
        <v>3180.1</v>
      </c>
      <c r="G156" s="21">
        <f aca="true" t="shared" si="63" ref="G156">G157+G163+G160</f>
        <v>1505.2</v>
      </c>
    </row>
    <row r="157" spans="1:7" ht="63">
      <c r="A157" s="104" t="s">
        <v>19</v>
      </c>
      <c r="B157" s="104" t="s">
        <v>6</v>
      </c>
      <c r="C157" s="104" t="s">
        <v>282</v>
      </c>
      <c r="D157" s="104"/>
      <c r="E157" s="105" t="s">
        <v>283</v>
      </c>
      <c r="F157" s="21">
        <f>F158</f>
        <v>2532.1</v>
      </c>
      <c r="G157" s="21">
        <f aca="true" t="shared" si="64" ref="G157:G158">G158</f>
        <v>1193.2</v>
      </c>
    </row>
    <row r="158" spans="1:7" ht="31.5">
      <c r="A158" s="104" t="s">
        <v>19</v>
      </c>
      <c r="B158" s="104" t="s">
        <v>6</v>
      </c>
      <c r="C158" s="104" t="s">
        <v>282</v>
      </c>
      <c r="D158" s="106" t="s">
        <v>69</v>
      </c>
      <c r="E158" s="105" t="s">
        <v>92</v>
      </c>
      <c r="F158" s="21">
        <f>F159</f>
        <v>2532.1</v>
      </c>
      <c r="G158" s="21">
        <f t="shared" si="64"/>
        <v>1193.2</v>
      </c>
    </row>
    <row r="159" spans="1:7" ht="31.5">
      <c r="A159" s="104" t="s">
        <v>19</v>
      </c>
      <c r="B159" s="104" t="s">
        <v>6</v>
      </c>
      <c r="C159" s="104" t="s">
        <v>282</v>
      </c>
      <c r="D159" s="104">
        <v>240</v>
      </c>
      <c r="E159" s="105" t="s">
        <v>245</v>
      </c>
      <c r="F159" s="21">
        <v>2532.1</v>
      </c>
      <c r="G159" s="21">
        <v>1193.2</v>
      </c>
    </row>
    <row r="160" spans="1:7" ht="12.75">
      <c r="A160" s="104" t="s">
        <v>19</v>
      </c>
      <c r="B160" s="104" t="s">
        <v>6</v>
      </c>
      <c r="C160" s="104" t="s">
        <v>371</v>
      </c>
      <c r="D160" s="104"/>
      <c r="E160" s="54" t="s">
        <v>266</v>
      </c>
      <c r="F160" s="21">
        <f>F161</f>
        <v>15</v>
      </c>
      <c r="G160" s="21">
        <f aca="true" t="shared" si="65" ref="G160:G161">G161</f>
        <v>13.7</v>
      </c>
    </row>
    <row r="161" spans="1:7" ht="31.5">
      <c r="A161" s="104" t="s">
        <v>19</v>
      </c>
      <c r="B161" s="104" t="s">
        <v>6</v>
      </c>
      <c r="C161" s="104" t="s">
        <v>371</v>
      </c>
      <c r="D161" s="106" t="s">
        <v>69</v>
      </c>
      <c r="E161" s="105" t="s">
        <v>92</v>
      </c>
      <c r="F161" s="21">
        <f>F162</f>
        <v>15</v>
      </c>
      <c r="G161" s="21">
        <f t="shared" si="65"/>
        <v>13.7</v>
      </c>
    </row>
    <row r="162" spans="1:7" ht="31.5">
      <c r="A162" s="104" t="s">
        <v>19</v>
      </c>
      <c r="B162" s="104" t="s">
        <v>6</v>
      </c>
      <c r="C162" s="104" t="s">
        <v>371</v>
      </c>
      <c r="D162" s="104">
        <v>240</v>
      </c>
      <c r="E162" s="105" t="s">
        <v>245</v>
      </c>
      <c r="F162" s="21">
        <v>15</v>
      </c>
      <c r="G162" s="21">
        <v>13.7</v>
      </c>
    </row>
    <row r="163" spans="1:7" ht="63">
      <c r="A163" s="104" t="s">
        <v>19</v>
      </c>
      <c r="B163" s="104" t="s">
        <v>6</v>
      </c>
      <c r="C163" s="104" t="s">
        <v>271</v>
      </c>
      <c r="D163" s="104"/>
      <c r="E163" s="105" t="s">
        <v>267</v>
      </c>
      <c r="F163" s="21">
        <f>F164</f>
        <v>633</v>
      </c>
      <c r="G163" s="21">
        <f aca="true" t="shared" si="66" ref="G163:G164">G164</f>
        <v>298.3</v>
      </c>
    </row>
    <row r="164" spans="1:7" ht="31.5">
      <c r="A164" s="104" t="s">
        <v>19</v>
      </c>
      <c r="B164" s="104" t="s">
        <v>6</v>
      </c>
      <c r="C164" s="104" t="s">
        <v>271</v>
      </c>
      <c r="D164" s="106" t="s">
        <v>69</v>
      </c>
      <c r="E164" s="105" t="s">
        <v>92</v>
      </c>
      <c r="F164" s="21">
        <f>F165</f>
        <v>633</v>
      </c>
      <c r="G164" s="21">
        <f t="shared" si="66"/>
        <v>298.3</v>
      </c>
    </row>
    <row r="165" spans="1:7" ht="31.5">
      <c r="A165" s="104" t="s">
        <v>19</v>
      </c>
      <c r="B165" s="104" t="s">
        <v>6</v>
      </c>
      <c r="C165" s="104" t="s">
        <v>271</v>
      </c>
      <c r="D165" s="104">
        <v>240</v>
      </c>
      <c r="E165" s="105" t="s">
        <v>245</v>
      </c>
      <c r="F165" s="21">
        <v>633</v>
      </c>
      <c r="G165" s="21">
        <v>298.3</v>
      </c>
    </row>
    <row r="166" spans="1:7" ht="12.75">
      <c r="A166" s="104" t="s">
        <v>19</v>
      </c>
      <c r="B166" s="104" t="s">
        <v>6</v>
      </c>
      <c r="C166" s="106" t="s">
        <v>107</v>
      </c>
      <c r="D166" s="106" t="s">
        <v>66</v>
      </c>
      <c r="E166" s="54" t="s">
        <v>102</v>
      </c>
      <c r="F166" s="21">
        <f>F167</f>
        <v>400</v>
      </c>
      <c r="G166" s="21">
        <f aca="true" t="shared" si="67" ref="G166:G169">G167</f>
        <v>400</v>
      </c>
    </row>
    <row r="167" spans="1:7" ht="31.5">
      <c r="A167" s="104" t="s">
        <v>19</v>
      </c>
      <c r="B167" s="104" t="s">
        <v>6</v>
      </c>
      <c r="C167" s="104">
        <v>9930000000</v>
      </c>
      <c r="D167" s="104"/>
      <c r="E167" s="54" t="s">
        <v>165</v>
      </c>
      <c r="F167" s="21">
        <f>F168</f>
        <v>400</v>
      </c>
      <c r="G167" s="21">
        <f t="shared" si="67"/>
        <v>400</v>
      </c>
    </row>
    <row r="168" spans="1:7" ht="31.5">
      <c r="A168" s="104" t="s">
        <v>19</v>
      </c>
      <c r="B168" s="104" t="s">
        <v>6</v>
      </c>
      <c r="C168" s="104">
        <v>9930020490</v>
      </c>
      <c r="D168" s="104"/>
      <c r="E168" s="54" t="s">
        <v>367</v>
      </c>
      <c r="F168" s="21">
        <f>F169</f>
        <v>400</v>
      </c>
      <c r="G168" s="21">
        <f t="shared" si="67"/>
        <v>400</v>
      </c>
    </row>
    <row r="169" spans="1:7" ht="12.75">
      <c r="A169" s="104" t="s">
        <v>19</v>
      </c>
      <c r="B169" s="104" t="s">
        <v>6</v>
      </c>
      <c r="C169" s="104">
        <v>9930020490</v>
      </c>
      <c r="D169" s="11" t="s">
        <v>70</v>
      </c>
      <c r="E169" s="42" t="s">
        <v>71</v>
      </c>
      <c r="F169" s="21">
        <f>F170</f>
        <v>400</v>
      </c>
      <c r="G169" s="21">
        <f t="shared" si="67"/>
        <v>400</v>
      </c>
    </row>
    <row r="170" spans="1:7" ht="12.75">
      <c r="A170" s="104" t="s">
        <v>19</v>
      </c>
      <c r="B170" s="104" t="s">
        <v>6</v>
      </c>
      <c r="C170" s="104">
        <v>9930020490</v>
      </c>
      <c r="D170" s="1" t="s">
        <v>368</v>
      </c>
      <c r="E170" s="57" t="s">
        <v>369</v>
      </c>
      <c r="F170" s="21">
        <f>50+300+50</f>
        <v>400</v>
      </c>
      <c r="G170" s="21">
        <v>400</v>
      </c>
    </row>
    <row r="171" spans="1:7" ht="12.75">
      <c r="A171" s="104" t="s">
        <v>19</v>
      </c>
      <c r="B171" s="104" t="s">
        <v>48</v>
      </c>
      <c r="C171" s="104" t="s">
        <v>66</v>
      </c>
      <c r="D171" s="104" t="s">
        <v>66</v>
      </c>
      <c r="E171" s="105" t="s">
        <v>26</v>
      </c>
      <c r="F171" s="21">
        <f>F172</f>
        <v>180.1</v>
      </c>
      <c r="G171" s="21">
        <f aca="true" t="shared" si="68" ref="F171:G176">G172</f>
        <v>180.1</v>
      </c>
    </row>
    <row r="172" spans="1:7" ht="63">
      <c r="A172" s="104" t="s">
        <v>19</v>
      </c>
      <c r="B172" s="104" t="s">
        <v>48</v>
      </c>
      <c r="C172" s="106">
        <v>1600000000</v>
      </c>
      <c r="D172" s="24"/>
      <c r="E172" s="105" t="s">
        <v>111</v>
      </c>
      <c r="F172" s="21">
        <f>F173</f>
        <v>180.1</v>
      </c>
      <c r="G172" s="21">
        <f t="shared" si="68"/>
        <v>180.1</v>
      </c>
    </row>
    <row r="173" spans="1:7" ht="31.5">
      <c r="A173" s="104" t="s">
        <v>19</v>
      </c>
      <c r="B173" s="104" t="s">
        <v>48</v>
      </c>
      <c r="C173" s="106">
        <v>1610000000</v>
      </c>
      <c r="D173" s="104"/>
      <c r="E173" s="105" t="s">
        <v>223</v>
      </c>
      <c r="F173" s="21">
        <f>F174</f>
        <v>180.1</v>
      </c>
      <c r="G173" s="21">
        <f t="shared" si="68"/>
        <v>180.1</v>
      </c>
    </row>
    <row r="174" spans="1:7" ht="47.25">
      <c r="A174" s="104" t="s">
        <v>19</v>
      </c>
      <c r="B174" s="104" t="s">
        <v>48</v>
      </c>
      <c r="C174" s="106">
        <v>1610500000</v>
      </c>
      <c r="D174" s="104"/>
      <c r="E174" s="105" t="s">
        <v>341</v>
      </c>
      <c r="F174" s="21">
        <f t="shared" si="68"/>
        <v>180.1</v>
      </c>
      <c r="G174" s="21">
        <f t="shared" si="68"/>
        <v>180.1</v>
      </c>
    </row>
    <row r="175" spans="1:7" ht="31.5">
      <c r="A175" s="104" t="s">
        <v>19</v>
      </c>
      <c r="B175" s="104" t="s">
        <v>48</v>
      </c>
      <c r="C175" s="106">
        <v>1610520400</v>
      </c>
      <c r="D175" s="104"/>
      <c r="E175" s="105" t="s">
        <v>342</v>
      </c>
      <c r="F175" s="21">
        <f t="shared" si="68"/>
        <v>180.1</v>
      </c>
      <c r="G175" s="21">
        <f t="shared" si="68"/>
        <v>180.1</v>
      </c>
    </row>
    <row r="176" spans="1:7" ht="31.5">
      <c r="A176" s="104" t="s">
        <v>19</v>
      </c>
      <c r="B176" s="104" t="s">
        <v>48</v>
      </c>
      <c r="C176" s="106">
        <v>1610520400</v>
      </c>
      <c r="D176" s="106" t="s">
        <v>94</v>
      </c>
      <c r="E176" s="105" t="s">
        <v>95</v>
      </c>
      <c r="F176" s="21">
        <f t="shared" si="68"/>
        <v>180.1</v>
      </c>
      <c r="G176" s="21">
        <f t="shared" si="68"/>
        <v>180.1</v>
      </c>
    </row>
    <row r="177" spans="1:7" ht="12.75">
      <c r="A177" s="104" t="s">
        <v>19</v>
      </c>
      <c r="B177" s="104" t="s">
        <v>48</v>
      </c>
      <c r="C177" s="106">
        <v>1610520400</v>
      </c>
      <c r="D177" s="104">
        <v>610</v>
      </c>
      <c r="E177" s="105" t="s">
        <v>101</v>
      </c>
      <c r="F177" s="21">
        <f>240.5-60.4</f>
        <v>180.1</v>
      </c>
      <c r="G177" s="21">
        <v>180.1</v>
      </c>
    </row>
    <row r="178" spans="1:7" ht="12.75">
      <c r="A178" s="104" t="s">
        <v>19</v>
      </c>
      <c r="B178" s="104" t="s">
        <v>57</v>
      </c>
      <c r="C178" s="104" t="s">
        <v>66</v>
      </c>
      <c r="D178" s="104" t="s">
        <v>66</v>
      </c>
      <c r="E178" s="42" t="s">
        <v>27</v>
      </c>
      <c r="F178" s="21">
        <f>F203+F179</f>
        <v>81119</v>
      </c>
      <c r="G178" s="21">
        <f>G203+G179</f>
        <v>44531.90000000001</v>
      </c>
    </row>
    <row r="179" spans="1:7" ht="12.75">
      <c r="A179" s="104" t="s">
        <v>19</v>
      </c>
      <c r="B179" s="22" t="s">
        <v>272</v>
      </c>
      <c r="C179" s="104"/>
      <c r="D179" s="104"/>
      <c r="E179" s="108" t="s">
        <v>273</v>
      </c>
      <c r="F179" s="21">
        <f>F180+F194</f>
        <v>43833.2</v>
      </c>
      <c r="G179" s="21">
        <f>G180+G194</f>
        <v>8901.7</v>
      </c>
    </row>
    <row r="180" spans="1:7" ht="47.25">
      <c r="A180" s="104" t="s">
        <v>19</v>
      </c>
      <c r="B180" s="22" t="s">
        <v>272</v>
      </c>
      <c r="C180" s="106">
        <v>1400000000</v>
      </c>
      <c r="D180" s="104"/>
      <c r="E180" s="54" t="s">
        <v>194</v>
      </c>
      <c r="F180" s="21">
        <f>F181</f>
        <v>12029.2</v>
      </c>
      <c r="G180" s="21">
        <f aca="true" t="shared" si="69" ref="G180:G181">G181</f>
        <v>8901.7</v>
      </c>
    </row>
    <row r="181" spans="1:7" ht="12.75">
      <c r="A181" s="104" t="s">
        <v>19</v>
      </c>
      <c r="B181" s="22" t="s">
        <v>272</v>
      </c>
      <c r="C181" s="106">
        <v>1430000000</v>
      </c>
      <c r="D181" s="104"/>
      <c r="E181" s="8" t="s">
        <v>274</v>
      </c>
      <c r="F181" s="21">
        <f>F182</f>
        <v>12029.2</v>
      </c>
      <c r="G181" s="21">
        <f t="shared" si="69"/>
        <v>8901.7</v>
      </c>
    </row>
    <row r="182" spans="1:7" ht="47.25">
      <c r="A182" s="104" t="s">
        <v>19</v>
      </c>
      <c r="B182" s="22" t="s">
        <v>272</v>
      </c>
      <c r="C182" s="104">
        <v>1430100000</v>
      </c>
      <c r="D182" s="104"/>
      <c r="E182" s="8" t="s">
        <v>275</v>
      </c>
      <c r="F182" s="21">
        <f>F191+F186+F183</f>
        <v>12029.2</v>
      </c>
      <c r="G182" s="21">
        <f aca="true" t="shared" si="70" ref="G182">G191+G186+G183</f>
        <v>8901.7</v>
      </c>
    </row>
    <row r="183" spans="1:7" ht="31.5">
      <c r="A183" s="131" t="s">
        <v>19</v>
      </c>
      <c r="B183" s="22" t="s">
        <v>272</v>
      </c>
      <c r="C183" s="131">
        <v>1430110110</v>
      </c>
      <c r="D183" s="131"/>
      <c r="E183" s="42" t="s">
        <v>392</v>
      </c>
      <c r="F183" s="21">
        <f>F184</f>
        <v>5456.2</v>
      </c>
      <c r="G183" s="21">
        <f aca="true" t="shared" si="71" ref="G183:G184">G184</f>
        <v>5455.8</v>
      </c>
    </row>
    <row r="184" spans="1:7" ht="47.25">
      <c r="A184" s="131" t="s">
        <v>19</v>
      </c>
      <c r="B184" s="22" t="s">
        <v>272</v>
      </c>
      <c r="C184" s="131">
        <v>1430110110</v>
      </c>
      <c r="D184" s="133" t="s">
        <v>72</v>
      </c>
      <c r="E184" s="132" t="s">
        <v>93</v>
      </c>
      <c r="F184" s="21">
        <f>F185</f>
        <v>5456.2</v>
      </c>
      <c r="G184" s="21">
        <f t="shared" si="71"/>
        <v>5455.8</v>
      </c>
    </row>
    <row r="185" spans="1:7" ht="12.75">
      <c r="A185" s="131" t="s">
        <v>19</v>
      </c>
      <c r="B185" s="22" t="s">
        <v>272</v>
      </c>
      <c r="C185" s="131">
        <v>1430110110</v>
      </c>
      <c r="D185" s="133" t="s">
        <v>117</v>
      </c>
      <c r="E185" s="54" t="s">
        <v>118</v>
      </c>
      <c r="F185" s="21">
        <v>5456.2</v>
      </c>
      <c r="G185" s="21">
        <v>5455.8</v>
      </c>
    </row>
    <row r="186" spans="1:7" ht="31.5">
      <c r="A186" s="104" t="s">
        <v>19</v>
      </c>
      <c r="B186" s="22" t="s">
        <v>272</v>
      </c>
      <c r="C186" s="104">
        <v>1430120100</v>
      </c>
      <c r="D186" s="104"/>
      <c r="E186" s="42" t="s">
        <v>370</v>
      </c>
      <c r="F186" s="21">
        <f>F187+F189</f>
        <v>5209</v>
      </c>
      <c r="G186" s="21">
        <f aca="true" t="shared" si="72" ref="G186">G187+G189</f>
        <v>2081.9</v>
      </c>
    </row>
    <row r="187" spans="1:7" ht="31.5">
      <c r="A187" s="104" t="s">
        <v>19</v>
      </c>
      <c r="B187" s="22" t="s">
        <v>272</v>
      </c>
      <c r="C187" s="104">
        <v>1430120100</v>
      </c>
      <c r="D187" s="106" t="s">
        <v>69</v>
      </c>
      <c r="E187" s="105" t="s">
        <v>92</v>
      </c>
      <c r="F187" s="21">
        <f>F188</f>
        <v>1879.3000000000002</v>
      </c>
      <c r="G187" s="21">
        <f aca="true" t="shared" si="73" ref="G187">G188</f>
        <v>1106.7</v>
      </c>
    </row>
    <row r="188" spans="1:7" ht="31.5">
      <c r="A188" s="104" t="s">
        <v>19</v>
      </c>
      <c r="B188" s="22" t="s">
        <v>272</v>
      </c>
      <c r="C188" s="104">
        <v>1430120100</v>
      </c>
      <c r="D188" s="104">
        <v>240</v>
      </c>
      <c r="E188" s="105" t="s">
        <v>245</v>
      </c>
      <c r="F188" s="21">
        <f>530+1114.9+60-60+234.4</f>
        <v>1879.3000000000002</v>
      </c>
      <c r="G188" s="21">
        <v>1106.7</v>
      </c>
    </row>
    <row r="189" spans="1:7" ht="47.25">
      <c r="A189" s="104" t="s">
        <v>19</v>
      </c>
      <c r="B189" s="22" t="s">
        <v>272</v>
      </c>
      <c r="C189" s="104">
        <v>1430120100</v>
      </c>
      <c r="D189" s="106" t="s">
        <v>72</v>
      </c>
      <c r="E189" s="54" t="s">
        <v>93</v>
      </c>
      <c r="F189" s="21">
        <f>F190</f>
        <v>3329.7</v>
      </c>
      <c r="G189" s="21">
        <f aca="true" t="shared" si="74" ref="G189">G190</f>
        <v>975.2</v>
      </c>
    </row>
    <row r="190" spans="1:7" ht="12.75">
      <c r="A190" s="104" t="s">
        <v>19</v>
      </c>
      <c r="B190" s="22" t="s">
        <v>272</v>
      </c>
      <c r="C190" s="104">
        <v>1430120100</v>
      </c>
      <c r="D190" s="106" t="s">
        <v>117</v>
      </c>
      <c r="E190" s="54" t="s">
        <v>118</v>
      </c>
      <c r="F190" s="21">
        <f>140+5512.3-1500-1114.9-33.3+560-234.4</f>
        <v>3329.7</v>
      </c>
      <c r="G190" s="21">
        <v>975.2</v>
      </c>
    </row>
    <row r="191" spans="1:7" ht="31.5">
      <c r="A191" s="104" t="s">
        <v>19</v>
      </c>
      <c r="B191" s="22" t="s">
        <v>272</v>
      </c>
      <c r="C191" s="104" t="s">
        <v>343</v>
      </c>
      <c r="D191" s="104"/>
      <c r="E191" s="42" t="s">
        <v>344</v>
      </c>
      <c r="F191" s="21">
        <f>F192</f>
        <v>1364</v>
      </c>
      <c r="G191" s="21">
        <f aca="true" t="shared" si="75" ref="G191">G192</f>
        <v>1364</v>
      </c>
    </row>
    <row r="192" spans="1:7" ht="47.25">
      <c r="A192" s="104" t="s">
        <v>19</v>
      </c>
      <c r="B192" s="22" t="s">
        <v>272</v>
      </c>
      <c r="C192" s="104" t="s">
        <v>343</v>
      </c>
      <c r="D192" s="106" t="s">
        <v>72</v>
      </c>
      <c r="E192" s="54" t="s">
        <v>93</v>
      </c>
      <c r="F192" s="21">
        <f>F193</f>
        <v>1364</v>
      </c>
      <c r="G192" s="21">
        <v>1364</v>
      </c>
    </row>
    <row r="193" spans="1:7" ht="12.75">
      <c r="A193" s="104" t="s">
        <v>19</v>
      </c>
      <c r="B193" s="22" t="s">
        <v>272</v>
      </c>
      <c r="C193" s="104" t="s">
        <v>343</v>
      </c>
      <c r="D193" s="106" t="s">
        <v>117</v>
      </c>
      <c r="E193" s="54" t="s">
        <v>118</v>
      </c>
      <c r="F193" s="21">
        <f>1740.7-350-26.7</f>
        <v>1364</v>
      </c>
      <c r="G193" s="21">
        <v>1364</v>
      </c>
    </row>
    <row r="194" spans="1:7" ht="63">
      <c r="A194" s="104" t="s">
        <v>19</v>
      </c>
      <c r="B194" s="22" t="s">
        <v>272</v>
      </c>
      <c r="C194" s="106">
        <v>1600000000</v>
      </c>
      <c r="D194" s="106"/>
      <c r="E194" s="105" t="s">
        <v>111</v>
      </c>
      <c r="F194" s="21">
        <f>F195</f>
        <v>31804</v>
      </c>
      <c r="G194" s="21">
        <f aca="true" t="shared" si="76" ref="G194:G201">G195</f>
        <v>0</v>
      </c>
    </row>
    <row r="195" spans="1:7" ht="31.5">
      <c r="A195" s="104" t="s">
        <v>19</v>
      </c>
      <c r="B195" s="22" t="s">
        <v>272</v>
      </c>
      <c r="C195" s="104">
        <v>1610000000</v>
      </c>
      <c r="D195" s="106"/>
      <c r="E195" s="105" t="s">
        <v>223</v>
      </c>
      <c r="F195" s="21">
        <f>F196</f>
        <v>31804</v>
      </c>
      <c r="G195" s="21">
        <f t="shared" si="76"/>
        <v>0</v>
      </c>
    </row>
    <row r="196" spans="1:7" ht="31.5">
      <c r="A196" s="104" t="s">
        <v>19</v>
      </c>
      <c r="B196" s="22" t="s">
        <v>272</v>
      </c>
      <c r="C196" s="104">
        <v>1610400000</v>
      </c>
      <c r="D196" s="106"/>
      <c r="E196" s="54" t="s">
        <v>294</v>
      </c>
      <c r="F196" s="21">
        <f>F200+F197</f>
        <v>31804</v>
      </c>
      <c r="G196" s="21">
        <f aca="true" t="shared" si="77" ref="G196">G200+G197</f>
        <v>0</v>
      </c>
    </row>
    <row r="197" spans="1:7" ht="47.25">
      <c r="A197" s="104" t="s">
        <v>19</v>
      </c>
      <c r="B197" s="22" t="s">
        <v>272</v>
      </c>
      <c r="C197" s="104">
        <v>1610411210</v>
      </c>
      <c r="D197" s="106"/>
      <c r="E197" s="54" t="s">
        <v>297</v>
      </c>
      <c r="F197" s="21">
        <f>F198</f>
        <v>31486</v>
      </c>
      <c r="G197" s="21">
        <f aca="true" t="shared" si="78" ref="G197:G198">G198</f>
        <v>0</v>
      </c>
    </row>
    <row r="198" spans="1:7" ht="47.25">
      <c r="A198" s="104" t="s">
        <v>19</v>
      </c>
      <c r="B198" s="22" t="s">
        <v>272</v>
      </c>
      <c r="C198" s="104">
        <v>1610411210</v>
      </c>
      <c r="D198" s="106" t="s">
        <v>72</v>
      </c>
      <c r="E198" s="54" t="s">
        <v>93</v>
      </c>
      <c r="F198" s="21">
        <f>F199</f>
        <v>31486</v>
      </c>
      <c r="G198" s="21">
        <f t="shared" si="78"/>
        <v>0</v>
      </c>
    </row>
    <row r="199" spans="1:7" ht="12.75">
      <c r="A199" s="104" t="s">
        <v>19</v>
      </c>
      <c r="B199" s="22" t="s">
        <v>272</v>
      </c>
      <c r="C199" s="104">
        <v>1610411210</v>
      </c>
      <c r="D199" s="106" t="s">
        <v>117</v>
      </c>
      <c r="E199" s="54" t="s">
        <v>118</v>
      </c>
      <c r="F199" s="21">
        <v>31486</v>
      </c>
      <c r="G199" s="21">
        <v>0</v>
      </c>
    </row>
    <row r="200" spans="1:7" ht="47.25">
      <c r="A200" s="104" t="s">
        <v>19</v>
      </c>
      <c r="B200" s="22" t="s">
        <v>272</v>
      </c>
      <c r="C200" s="104" t="s">
        <v>295</v>
      </c>
      <c r="D200" s="106"/>
      <c r="E200" s="54" t="s">
        <v>296</v>
      </c>
      <c r="F200" s="21">
        <f>F201</f>
        <v>318</v>
      </c>
      <c r="G200" s="21">
        <f t="shared" si="76"/>
        <v>0</v>
      </c>
    </row>
    <row r="201" spans="1:7" ht="47.25">
      <c r="A201" s="104" t="s">
        <v>19</v>
      </c>
      <c r="B201" s="22" t="s">
        <v>272</v>
      </c>
      <c r="C201" s="104" t="s">
        <v>295</v>
      </c>
      <c r="D201" s="106" t="s">
        <v>72</v>
      </c>
      <c r="E201" s="54" t="s">
        <v>93</v>
      </c>
      <c r="F201" s="21">
        <f>F202</f>
        <v>318</v>
      </c>
      <c r="G201" s="21">
        <f t="shared" si="76"/>
        <v>0</v>
      </c>
    </row>
    <row r="202" spans="1:7" ht="12.75">
      <c r="A202" s="104" t="s">
        <v>19</v>
      </c>
      <c r="B202" s="22" t="s">
        <v>272</v>
      </c>
      <c r="C202" s="104" t="s">
        <v>295</v>
      </c>
      <c r="D202" s="106" t="s">
        <v>117</v>
      </c>
      <c r="E202" s="54" t="s">
        <v>118</v>
      </c>
      <c r="F202" s="21">
        <v>318</v>
      </c>
      <c r="G202" s="21">
        <v>0</v>
      </c>
    </row>
    <row r="203" spans="1:7" ht="12.75">
      <c r="A203" s="104" t="s">
        <v>19</v>
      </c>
      <c r="B203" s="104" t="s">
        <v>49</v>
      </c>
      <c r="C203" s="104" t="s">
        <v>66</v>
      </c>
      <c r="D203" s="104" t="s">
        <v>66</v>
      </c>
      <c r="E203" s="105" t="s">
        <v>28</v>
      </c>
      <c r="F203" s="21">
        <f>F204+F248</f>
        <v>37285.8</v>
      </c>
      <c r="G203" s="21">
        <f>G204+G248</f>
        <v>35630.200000000004</v>
      </c>
    </row>
    <row r="204" spans="1:7" ht="47.25">
      <c r="A204" s="104" t="s">
        <v>19</v>
      </c>
      <c r="B204" s="104" t="s">
        <v>49</v>
      </c>
      <c r="C204" s="106">
        <v>1300000000</v>
      </c>
      <c r="D204" s="104"/>
      <c r="E204" s="105" t="s">
        <v>193</v>
      </c>
      <c r="F204" s="21">
        <f>F205+F213+F240</f>
        <v>37275.8</v>
      </c>
      <c r="G204" s="21">
        <f>G205+G213+G240</f>
        <v>35620.200000000004</v>
      </c>
    </row>
    <row r="205" spans="1:7" ht="63">
      <c r="A205" s="104" t="s">
        <v>19</v>
      </c>
      <c r="B205" s="104" t="s">
        <v>49</v>
      </c>
      <c r="C205" s="106">
        <v>1310000000</v>
      </c>
      <c r="D205" s="104"/>
      <c r="E205" s="105" t="s">
        <v>232</v>
      </c>
      <c r="F205" s="21">
        <f>F206</f>
        <v>15413.6</v>
      </c>
      <c r="G205" s="21">
        <f aca="true" t="shared" si="79" ref="G205">G206</f>
        <v>14903</v>
      </c>
    </row>
    <row r="206" spans="1:7" ht="47.25">
      <c r="A206" s="104" t="s">
        <v>19</v>
      </c>
      <c r="B206" s="104" t="s">
        <v>49</v>
      </c>
      <c r="C206" s="106" t="s">
        <v>261</v>
      </c>
      <c r="D206" s="24"/>
      <c r="E206" s="105" t="s">
        <v>260</v>
      </c>
      <c r="F206" s="21">
        <f>F210+F207</f>
        <v>15413.6</v>
      </c>
      <c r="G206" s="21">
        <f aca="true" t="shared" si="80" ref="G206">G210+G207</f>
        <v>14903</v>
      </c>
    </row>
    <row r="207" spans="1:7" ht="12.75">
      <c r="A207" s="104" t="s">
        <v>19</v>
      </c>
      <c r="B207" s="104" t="s">
        <v>49</v>
      </c>
      <c r="C207" s="104" t="s">
        <v>270</v>
      </c>
      <c r="D207" s="104"/>
      <c r="E207" s="59" t="s">
        <v>265</v>
      </c>
      <c r="F207" s="21">
        <f>F208</f>
        <v>814.1</v>
      </c>
      <c r="G207" s="21">
        <f aca="true" t="shared" si="81" ref="G207:G208">G208</f>
        <v>314.1</v>
      </c>
    </row>
    <row r="208" spans="1:7" ht="31.5">
      <c r="A208" s="104" t="s">
        <v>19</v>
      </c>
      <c r="B208" s="104" t="s">
        <v>49</v>
      </c>
      <c r="C208" s="104" t="s">
        <v>270</v>
      </c>
      <c r="D208" s="106" t="s">
        <v>69</v>
      </c>
      <c r="E208" s="54" t="s">
        <v>92</v>
      </c>
      <c r="F208" s="21">
        <f>F209</f>
        <v>814.1</v>
      </c>
      <c r="G208" s="21">
        <f t="shared" si="81"/>
        <v>314.1</v>
      </c>
    </row>
    <row r="209" spans="1:7" ht="31.5">
      <c r="A209" s="104" t="s">
        <v>19</v>
      </c>
      <c r="B209" s="104" t="s">
        <v>49</v>
      </c>
      <c r="C209" s="104" t="s">
        <v>270</v>
      </c>
      <c r="D209" s="104">
        <v>240</v>
      </c>
      <c r="E209" s="54" t="s">
        <v>245</v>
      </c>
      <c r="F209" s="21">
        <f>548.2+270-17.2+0.1+10.6+2.4</f>
        <v>814.1</v>
      </c>
      <c r="G209" s="21">
        <v>314.1</v>
      </c>
    </row>
    <row r="210" spans="1:7" ht="31.5">
      <c r="A210" s="104" t="s">
        <v>19</v>
      </c>
      <c r="B210" s="104" t="s">
        <v>49</v>
      </c>
      <c r="C210" s="106" t="s">
        <v>262</v>
      </c>
      <c r="D210" s="104"/>
      <c r="E210" s="99" t="s">
        <v>241</v>
      </c>
      <c r="F210" s="21">
        <f>F211</f>
        <v>14599.5</v>
      </c>
      <c r="G210" s="21">
        <f aca="true" t="shared" si="82" ref="G210:G211">G211</f>
        <v>14588.9</v>
      </c>
    </row>
    <row r="211" spans="1:7" ht="31.5">
      <c r="A211" s="104" t="s">
        <v>19</v>
      </c>
      <c r="B211" s="104" t="s">
        <v>49</v>
      </c>
      <c r="C211" s="106" t="s">
        <v>262</v>
      </c>
      <c r="D211" s="106" t="s">
        <v>69</v>
      </c>
      <c r="E211" s="105" t="s">
        <v>92</v>
      </c>
      <c r="F211" s="21">
        <f>F212</f>
        <v>14599.5</v>
      </c>
      <c r="G211" s="21">
        <f t="shared" si="82"/>
        <v>14588.9</v>
      </c>
    </row>
    <row r="212" spans="1:7" ht="31.5">
      <c r="A212" s="104" t="s">
        <v>19</v>
      </c>
      <c r="B212" s="104" t="s">
        <v>49</v>
      </c>
      <c r="C212" s="106" t="s">
        <v>262</v>
      </c>
      <c r="D212" s="104">
        <v>240</v>
      </c>
      <c r="E212" s="105" t="s">
        <v>245</v>
      </c>
      <c r="F212" s="21">
        <f>12756.2+128.9+17.2+1697.3-0.1</f>
        <v>14599.5</v>
      </c>
      <c r="G212" s="21">
        <v>14588.9</v>
      </c>
    </row>
    <row r="213" spans="1:7" ht="31.5">
      <c r="A213" s="104" t="s">
        <v>19</v>
      </c>
      <c r="B213" s="104" t="s">
        <v>49</v>
      </c>
      <c r="C213" s="106">
        <v>1320000000</v>
      </c>
      <c r="D213" s="104"/>
      <c r="E213" s="105" t="s">
        <v>198</v>
      </c>
      <c r="F213" s="21">
        <f>F221+F214</f>
        <v>21484.4</v>
      </c>
      <c r="G213" s="21">
        <f>G221+G214</f>
        <v>20412.200000000004</v>
      </c>
    </row>
    <row r="214" spans="1:7" ht="31.5">
      <c r="A214" s="104" t="s">
        <v>19</v>
      </c>
      <c r="B214" s="104" t="s">
        <v>49</v>
      </c>
      <c r="C214" s="106">
        <v>1320100000</v>
      </c>
      <c r="D214" s="104"/>
      <c r="E214" s="105" t="s">
        <v>345</v>
      </c>
      <c r="F214" s="21">
        <f>F218+F215</f>
        <v>707.4</v>
      </c>
      <c r="G214" s="21">
        <f aca="true" t="shared" si="83" ref="G214">G218+G215</f>
        <v>651.4</v>
      </c>
    </row>
    <row r="215" spans="1:7" ht="78.75">
      <c r="A215" s="125" t="s">
        <v>19</v>
      </c>
      <c r="B215" s="125" t="s">
        <v>49</v>
      </c>
      <c r="C215" s="125">
        <v>1320119010</v>
      </c>
      <c r="D215" s="125"/>
      <c r="E215" s="42" t="s">
        <v>390</v>
      </c>
      <c r="F215" s="21">
        <f>F216</f>
        <v>353.7</v>
      </c>
      <c r="G215" s="21">
        <f aca="true" t="shared" si="84" ref="G215:G216">G216</f>
        <v>325.7</v>
      </c>
    </row>
    <row r="216" spans="1:7" ht="31.5">
      <c r="A216" s="125" t="s">
        <v>19</v>
      </c>
      <c r="B216" s="125" t="s">
        <v>49</v>
      </c>
      <c r="C216" s="125">
        <v>1320119010</v>
      </c>
      <c r="D216" s="127" t="s">
        <v>69</v>
      </c>
      <c r="E216" s="126" t="s">
        <v>92</v>
      </c>
      <c r="F216" s="21">
        <f>F217</f>
        <v>353.7</v>
      </c>
      <c r="G216" s="21">
        <f t="shared" si="84"/>
        <v>325.7</v>
      </c>
    </row>
    <row r="217" spans="1:7" ht="31.5">
      <c r="A217" s="125" t="s">
        <v>19</v>
      </c>
      <c r="B217" s="125" t="s">
        <v>49</v>
      </c>
      <c r="C217" s="125">
        <v>1320119010</v>
      </c>
      <c r="D217" s="125">
        <v>240</v>
      </c>
      <c r="E217" s="126" t="s">
        <v>245</v>
      </c>
      <c r="F217" s="21">
        <v>353.7</v>
      </c>
      <c r="G217" s="21">
        <v>325.7</v>
      </c>
    </row>
    <row r="218" spans="1:7" ht="78.75">
      <c r="A218" s="104" t="s">
        <v>19</v>
      </c>
      <c r="B218" s="104" t="s">
        <v>49</v>
      </c>
      <c r="C218" s="119" t="s">
        <v>381</v>
      </c>
      <c r="D218" s="104"/>
      <c r="E218" s="42" t="s">
        <v>383</v>
      </c>
      <c r="F218" s="21">
        <f>F219</f>
        <v>353.7</v>
      </c>
      <c r="G218" s="21">
        <f aca="true" t="shared" si="85" ref="G218:G219">G219</f>
        <v>325.7</v>
      </c>
    </row>
    <row r="219" spans="1:7" ht="31.5">
      <c r="A219" s="104" t="s">
        <v>19</v>
      </c>
      <c r="B219" s="104" t="s">
        <v>49</v>
      </c>
      <c r="C219" s="104" t="s">
        <v>381</v>
      </c>
      <c r="D219" s="106" t="s">
        <v>69</v>
      </c>
      <c r="E219" s="105" t="s">
        <v>92</v>
      </c>
      <c r="F219" s="21">
        <f>F220</f>
        <v>353.7</v>
      </c>
      <c r="G219" s="21">
        <f t="shared" si="85"/>
        <v>325.7</v>
      </c>
    </row>
    <row r="220" spans="1:7" ht="31.5">
      <c r="A220" s="104" t="s">
        <v>19</v>
      </c>
      <c r="B220" s="104" t="s">
        <v>49</v>
      </c>
      <c r="C220" s="119" t="s">
        <v>381</v>
      </c>
      <c r="D220" s="104">
        <v>240</v>
      </c>
      <c r="E220" s="105" t="s">
        <v>245</v>
      </c>
      <c r="F220" s="21">
        <v>353.7</v>
      </c>
      <c r="G220" s="21">
        <v>325.7</v>
      </c>
    </row>
    <row r="221" spans="1:7" ht="12.75">
      <c r="A221" s="104" t="s">
        <v>19</v>
      </c>
      <c r="B221" s="104" t="s">
        <v>49</v>
      </c>
      <c r="C221" s="106">
        <v>1320200000</v>
      </c>
      <c r="D221" s="104"/>
      <c r="E221" s="105" t="s">
        <v>127</v>
      </c>
      <c r="F221" s="21">
        <f>F222+F225+F228+F231+F237+F234</f>
        <v>20777</v>
      </c>
      <c r="G221" s="21">
        <f aca="true" t="shared" si="86" ref="G221">G222+G225+G228+G231+G237+G234</f>
        <v>19760.800000000003</v>
      </c>
    </row>
    <row r="222" spans="1:7" ht="12.75">
      <c r="A222" s="104" t="s">
        <v>19</v>
      </c>
      <c r="B222" s="104" t="s">
        <v>49</v>
      </c>
      <c r="C222" s="104">
        <v>1320220050</v>
      </c>
      <c r="D222" s="104"/>
      <c r="E222" s="105" t="s">
        <v>128</v>
      </c>
      <c r="F222" s="21">
        <f>F223</f>
        <v>15478.5</v>
      </c>
      <c r="G222" s="21">
        <f aca="true" t="shared" si="87" ref="G222:G223">G223</f>
        <v>14477.7</v>
      </c>
    </row>
    <row r="223" spans="1:7" ht="31.5">
      <c r="A223" s="104" t="s">
        <v>19</v>
      </c>
      <c r="B223" s="104" t="s">
        <v>49</v>
      </c>
      <c r="C223" s="104">
        <v>1320220050</v>
      </c>
      <c r="D223" s="106" t="s">
        <v>69</v>
      </c>
      <c r="E223" s="105" t="s">
        <v>92</v>
      </c>
      <c r="F223" s="21">
        <f>F224</f>
        <v>15478.5</v>
      </c>
      <c r="G223" s="21">
        <f t="shared" si="87"/>
        <v>14477.7</v>
      </c>
    </row>
    <row r="224" spans="1:7" ht="31.5">
      <c r="A224" s="104" t="s">
        <v>19</v>
      </c>
      <c r="B224" s="104" t="s">
        <v>49</v>
      </c>
      <c r="C224" s="104">
        <v>1320220050</v>
      </c>
      <c r="D224" s="104">
        <v>240</v>
      </c>
      <c r="E224" s="105" t="s">
        <v>245</v>
      </c>
      <c r="F224" s="21">
        <f>10343.8+7134.7-1000-1000</f>
        <v>15478.5</v>
      </c>
      <c r="G224" s="21">
        <v>14477.7</v>
      </c>
    </row>
    <row r="225" spans="1:7" ht="12.75">
      <c r="A225" s="104" t="s">
        <v>19</v>
      </c>
      <c r="B225" s="104" t="s">
        <v>49</v>
      </c>
      <c r="C225" s="104">
        <v>1320220060</v>
      </c>
      <c r="D225" s="104"/>
      <c r="E225" s="105" t="s">
        <v>129</v>
      </c>
      <c r="F225" s="21">
        <f>F226</f>
        <v>2685.5</v>
      </c>
      <c r="G225" s="21">
        <f aca="true" t="shared" si="88" ref="G225:G226">G226</f>
        <v>2675.2</v>
      </c>
    </row>
    <row r="226" spans="1:7" ht="31.5">
      <c r="A226" s="104" t="s">
        <v>19</v>
      </c>
      <c r="B226" s="104" t="s">
        <v>49</v>
      </c>
      <c r="C226" s="104">
        <v>1320220060</v>
      </c>
      <c r="D226" s="106" t="s">
        <v>69</v>
      </c>
      <c r="E226" s="105" t="s">
        <v>92</v>
      </c>
      <c r="F226" s="21">
        <f>F227</f>
        <v>2685.5</v>
      </c>
      <c r="G226" s="21">
        <f t="shared" si="88"/>
        <v>2675.2</v>
      </c>
    </row>
    <row r="227" spans="1:7" ht="31.5">
      <c r="A227" s="104" t="s">
        <v>19</v>
      </c>
      <c r="B227" s="104" t="s">
        <v>49</v>
      </c>
      <c r="C227" s="104">
        <v>1320220060</v>
      </c>
      <c r="D227" s="104">
        <v>240</v>
      </c>
      <c r="E227" s="105" t="s">
        <v>245</v>
      </c>
      <c r="F227" s="21">
        <f>1066.4-10.6+500+1129.7</f>
        <v>2685.5</v>
      </c>
      <c r="G227" s="21">
        <v>2675.2</v>
      </c>
    </row>
    <row r="228" spans="1:7" ht="12.75">
      <c r="A228" s="104" t="s">
        <v>19</v>
      </c>
      <c r="B228" s="104" t="s">
        <v>49</v>
      </c>
      <c r="C228" s="104">
        <v>1320220070</v>
      </c>
      <c r="D228" s="104"/>
      <c r="E228" s="105" t="s">
        <v>130</v>
      </c>
      <c r="F228" s="21">
        <f>F229</f>
        <v>2068.3</v>
      </c>
      <c r="G228" s="21">
        <f aca="true" t="shared" si="89" ref="G228:G229">G229</f>
        <v>2068.3</v>
      </c>
    </row>
    <row r="229" spans="1:7" ht="31.5">
      <c r="A229" s="104" t="s">
        <v>19</v>
      </c>
      <c r="B229" s="104" t="s">
        <v>49</v>
      </c>
      <c r="C229" s="104">
        <v>1320220070</v>
      </c>
      <c r="D229" s="106" t="s">
        <v>69</v>
      </c>
      <c r="E229" s="105" t="s">
        <v>92</v>
      </c>
      <c r="F229" s="21">
        <f>F230</f>
        <v>2068.3</v>
      </c>
      <c r="G229" s="21">
        <f t="shared" si="89"/>
        <v>2068.3</v>
      </c>
    </row>
    <row r="230" spans="1:7" ht="31.5">
      <c r="A230" s="104" t="s">
        <v>19</v>
      </c>
      <c r="B230" s="104" t="s">
        <v>49</v>
      </c>
      <c r="C230" s="104">
        <v>1320220070</v>
      </c>
      <c r="D230" s="104">
        <v>240</v>
      </c>
      <c r="E230" s="105" t="s">
        <v>245</v>
      </c>
      <c r="F230" s="21">
        <v>2068.3</v>
      </c>
      <c r="G230" s="21">
        <v>2068.3</v>
      </c>
    </row>
    <row r="231" spans="1:7" ht="12.75">
      <c r="A231" s="104" t="s">
        <v>19</v>
      </c>
      <c r="B231" s="104" t="s">
        <v>49</v>
      </c>
      <c r="C231" s="104">
        <v>1320220080</v>
      </c>
      <c r="D231" s="104"/>
      <c r="E231" s="105" t="s">
        <v>131</v>
      </c>
      <c r="F231" s="21">
        <f>F232</f>
        <v>145.9</v>
      </c>
      <c r="G231" s="21">
        <f aca="true" t="shared" si="90" ref="G231:G232">G232</f>
        <v>145.9</v>
      </c>
    </row>
    <row r="232" spans="1:7" ht="31.5">
      <c r="A232" s="104" t="s">
        <v>19</v>
      </c>
      <c r="B232" s="104" t="s">
        <v>49</v>
      </c>
      <c r="C232" s="104">
        <v>1320220080</v>
      </c>
      <c r="D232" s="106" t="s">
        <v>69</v>
      </c>
      <c r="E232" s="105" t="s">
        <v>92</v>
      </c>
      <c r="F232" s="21">
        <f>F233</f>
        <v>145.9</v>
      </c>
      <c r="G232" s="21">
        <f t="shared" si="90"/>
        <v>145.9</v>
      </c>
    </row>
    <row r="233" spans="1:7" ht="31.5">
      <c r="A233" s="104" t="s">
        <v>19</v>
      </c>
      <c r="B233" s="104" t="s">
        <v>49</v>
      </c>
      <c r="C233" s="104">
        <v>1320220080</v>
      </c>
      <c r="D233" s="104">
        <v>240</v>
      </c>
      <c r="E233" s="105" t="s">
        <v>245</v>
      </c>
      <c r="F233" s="21">
        <v>145.9</v>
      </c>
      <c r="G233" s="21">
        <v>145.9</v>
      </c>
    </row>
    <row r="234" spans="1:7" ht="31.5">
      <c r="A234" s="125" t="s">
        <v>19</v>
      </c>
      <c r="B234" s="127" t="s">
        <v>49</v>
      </c>
      <c r="C234" s="127">
        <v>1320220090</v>
      </c>
      <c r="D234" s="127"/>
      <c r="E234" s="126" t="s">
        <v>391</v>
      </c>
      <c r="F234" s="21">
        <f>F235</f>
        <v>47.6</v>
      </c>
      <c r="G234" s="21">
        <f aca="true" t="shared" si="91" ref="G234:G235">G235</f>
        <v>42.5</v>
      </c>
    </row>
    <row r="235" spans="1:7" ht="31.5">
      <c r="A235" s="125" t="s">
        <v>19</v>
      </c>
      <c r="B235" s="127" t="s">
        <v>49</v>
      </c>
      <c r="C235" s="127">
        <v>1320220090</v>
      </c>
      <c r="D235" s="127" t="s">
        <v>69</v>
      </c>
      <c r="E235" s="126" t="s">
        <v>92</v>
      </c>
      <c r="F235" s="21">
        <f>F236</f>
        <v>47.6</v>
      </c>
      <c r="G235" s="21">
        <f t="shared" si="91"/>
        <v>42.5</v>
      </c>
    </row>
    <row r="236" spans="1:7" ht="31.5">
      <c r="A236" s="125" t="s">
        <v>19</v>
      </c>
      <c r="B236" s="127" t="s">
        <v>49</v>
      </c>
      <c r="C236" s="127">
        <v>1320220090</v>
      </c>
      <c r="D236" s="127">
        <v>240</v>
      </c>
      <c r="E236" s="126" t="s">
        <v>245</v>
      </c>
      <c r="F236" s="21">
        <f>50-2.4</f>
        <v>47.6</v>
      </c>
      <c r="G236" s="21">
        <v>42.5</v>
      </c>
    </row>
    <row r="237" spans="1:7" ht="63">
      <c r="A237" s="104" t="s">
        <v>19</v>
      </c>
      <c r="B237" s="104" t="s">
        <v>49</v>
      </c>
      <c r="C237" s="104" t="s">
        <v>379</v>
      </c>
      <c r="D237" s="104"/>
      <c r="E237" s="105" t="s">
        <v>382</v>
      </c>
      <c r="F237" s="21">
        <f>F238</f>
        <v>351.2</v>
      </c>
      <c r="G237" s="21">
        <f aca="true" t="shared" si="92" ref="G237:G238">G238</f>
        <v>351.2</v>
      </c>
    </row>
    <row r="238" spans="1:7" ht="31.5">
      <c r="A238" s="104" t="s">
        <v>19</v>
      </c>
      <c r="B238" s="104" t="s">
        <v>49</v>
      </c>
      <c r="C238" s="117" t="s">
        <v>379</v>
      </c>
      <c r="D238" s="106" t="s">
        <v>69</v>
      </c>
      <c r="E238" s="105" t="s">
        <v>92</v>
      </c>
      <c r="F238" s="21">
        <f>F239</f>
        <v>351.2</v>
      </c>
      <c r="G238" s="21">
        <f t="shared" si="92"/>
        <v>351.2</v>
      </c>
    </row>
    <row r="239" spans="1:7" ht="31.5">
      <c r="A239" s="104" t="s">
        <v>19</v>
      </c>
      <c r="B239" s="104" t="s">
        <v>49</v>
      </c>
      <c r="C239" s="117" t="s">
        <v>379</v>
      </c>
      <c r="D239" s="104">
        <v>240</v>
      </c>
      <c r="E239" s="105" t="s">
        <v>245</v>
      </c>
      <c r="F239" s="21">
        <f>200-129.7+280.9</f>
        <v>351.2</v>
      </c>
      <c r="G239" s="21">
        <v>351.2</v>
      </c>
    </row>
    <row r="240" spans="1:7" ht="31.5">
      <c r="A240" s="104" t="s">
        <v>19</v>
      </c>
      <c r="B240" s="104" t="s">
        <v>49</v>
      </c>
      <c r="C240" s="106">
        <v>1330000000</v>
      </c>
      <c r="D240" s="104"/>
      <c r="E240" s="105" t="s">
        <v>122</v>
      </c>
      <c r="F240" s="21">
        <f>F241</f>
        <v>377.79999999999995</v>
      </c>
      <c r="G240" s="21">
        <f aca="true" t="shared" si="93" ref="G240:G243">G241</f>
        <v>305</v>
      </c>
    </row>
    <row r="241" spans="1:7" ht="63">
      <c r="A241" s="104" t="s">
        <v>19</v>
      </c>
      <c r="B241" s="104" t="s">
        <v>49</v>
      </c>
      <c r="C241" s="106">
        <v>1330200000</v>
      </c>
      <c r="D241" s="104"/>
      <c r="E241" s="105" t="s">
        <v>233</v>
      </c>
      <c r="F241" s="21">
        <f>F242+F245</f>
        <v>377.79999999999995</v>
      </c>
      <c r="G241" s="21">
        <f aca="true" t="shared" si="94" ref="G241">G242+G245</f>
        <v>305</v>
      </c>
    </row>
    <row r="242" spans="1:7" ht="12.75">
      <c r="A242" s="104" t="s">
        <v>19</v>
      </c>
      <c r="B242" s="104" t="s">
        <v>49</v>
      </c>
      <c r="C242" s="106">
        <v>1330220090</v>
      </c>
      <c r="D242" s="104"/>
      <c r="E242" s="105" t="s">
        <v>132</v>
      </c>
      <c r="F242" s="21">
        <f>F243</f>
        <v>107.79999999999998</v>
      </c>
      <c r="G242" s="21">
        <f t="shared" si="93"/>
        <v>35</v>
      </c>
    </row>
    <row r="243" spans="1:7" ht="31.5">
      <c r="A243" s="104" t="s">
        <v>19</v>
      </c>
      <c r="B243" s="104" t="s">
        <v>49</v>
      </c>
      <c r="C243" s="106">
        <v>1330220090</v>
      </c>
      <c r="D243" s="106" t="s">
        <v>69</v>
      </c>
      <c r="E243" s="105" t="s">
        <v>92</v>
      </c>
      <c r="F243" s="21">
        <f>F244</f>
        <v>107.79999999999998</v>
      </c>
      <c r="G243" s="21">
        <f t="shared" si="93"/>
        <v>35</v>
      </c>
    </row>
    <row r="244" spans="1:7" ht="31.5">
      <c r="A244" s="104" t="s">
        <v>19</v>
      </c>
      <c r="B244" s="104" t="s">
        <v>49</v>
      </c>
      <c r="C244" s="106">
        <v>1330220090</v>
      </c>
      <c r="D244" s="104">
        <v>240</v>
      </c>
      <c r="E244" s="105" t="s">
        <v>245</v>
      </c>
      <c r="F244" s="21">
        <f>279.9-270+97.9</f>
        <v>107.79999999999998</v>
      </c>
      <c r="G244" s="21">
        <v>35</v>
      </c>
    </row>
    <row r="245" spans="1:7" ht="12.75">
      <c r="A245" s="119" t="s">
        <v>19</v>
      </c>
      <c r="B245" s="119" t="s">
        <v>49</v>
      </c>
      <c r="C245" s="121">
        <v>1330220100</v>
      </c>
      <c r="D245" s="74"/>
      <c r="E245" s="42" t="s">
        <v>380</v>
      </c>
      <c r="F245" s="21">
        <f>F246</f>
        <v>270</v>
      </c>
      <c r="G245" s="21">
        <f aca="true" t="shared" si="95" ref="G245:G246">G246</f>
        <v>270</v>
      </c>
    </row>
    <row r="246" spans="1:7" ht="31.5">
      <c r="A246" s="119" t="s">
        <v>19</v>
      </c>
      <c r="B246" s="119" t="s">
        <v>49</v>
      </c>
      <c r="C246" s="121">
        <v>1330220100</v>
      </c>
      <c r="D246" s="122" t="s">
        <v>69</v>
      </c>
      <c r="E246" s="120" t="s">
        <v>92</v>
      </c>
      <c r="F246" s="21">
        <f>F247</f>
        <v>270</v>
      </c>
      <c r="G246" s="21">
        <f t="shared" si="95"/>
        <v>270</v>
      </c>
    </row>
    <row r="247" spans="1:7" ht="31.5">
      <c r="A247" s="119" t="s">
        <v>19</v>
      </c>
      <c r="B247" s="119" t="s">
        <v>49</v>
      </c>
      <c r="C247" s="121">
        <v>1330220100</v>
      </c>
      <c r="D247" s="74">
        <v>240</v>
      </c>
      <c r="E247" s="120" t="s">
        <v>245</v>
      </c>
      <c r="F247" s="21">
        <v>270</v>
      </c>
      <c r="G247" s="21">
        <v>270</v>
      </c>
    </row>
    <row r="248" spans="1:7" ht="12.75">
      <c r="A248" s="104" t="s">
        <v>19</v>
      </c>
      <c r="B248" s="104" t="s">
        <v>49</v>
      </c>
      <c r="C248" s="106" t="s">
        <v>107</v>
      </c>
      <c r="D248" s="106" t="s">
        <v>66</v>
      </c>
      <c r="E248" s="105" t="s">
        <v>102</v>
      </c>
      <c r="F248" s="21">
        <f>F249</f>
        <v>10</v>
      </c>
      <c r="G248" s="21">
        <f aca="true" t="shared" si="96" ref="G248:G251">G249</f>
        <v>10</v>
      </c>
    </row>
    <row r="249" spans="1:7" ht="31.5">
      <c r="A249" s="104" t="s">
        <v>19</v>
      </c>
      <c r="B249" s="104" t="s">
        <v>49</v>
      </c>
      <c r="C249" s="104">
        <v>9930000000</v>
      </c>
      <c r="D249" s="104"/>
      <c r="E249" s="54" t="s">
        <v>165</v>
      </c>
      <c r="F249" s="21">
        <f>F250</f>
        <v>10</v>
      </c>
      <c r="G249" s="21">
        <f t="shared" si="96"/>
        <v>10</v>
      </c>
    </row>
    <row r="250" spans="1:7" ht="31.5">
      <c r="A250" s="104" t="s">
        <v>19</v>
      </c>
      <c r="B250" s="104" t="s">
        <v>49</v>
      </c>
      <c r="C250" s="104">
        <v>9930020490</v>
      </c>
      <c r="D250" s="104"/>
      <c r="E250" s="54" t="s">
        <v>367</v>
      </c>
      <c r="F250" s="21">
        <f>F251</f>
        <v>10</v>
      </c>
      <c r="G250" s="21">
        <f t="shared" si="96"/>
        <v>10</v>
      </c>
    </row>
    <row r="251" spans="1:7" ht="12.75">
      <c r="A251" s="104" t="s">
        <v>19</v>
      </c>
      <c r="B251" s="104" t="s">
        <v>49</v>
      </c>
      <c r="C251" s="104">
        <v>9930020490</v>
      </c>
      <c r="D251" s="11" t="s">
        <v>70</v>
      </c>
      <c r="E251" s="42" t="s">
        <v>71</v>
      </c>
      <c r="F251" s="21">
        <f>F252</f>
        <v>10</v>
      </c>
      <c r="G251" s="21">
        <f t="shared" si="96"/>
        <v>10</v>
      </c>
    </row>
    <row r="252" spans="1:7" ht="12.75">
      <c r="A252" s="104" t="s">
        <v>19</v>
      </c>
      <c r="B252" s="104" t="s">
        <v>49</v>
      </c>
      <c r="C252" s="104">
        <v>9930020490</v>
      </c>
      <c r="D252" s="1" t="s">
        <v>368</v>
      </c>
      <c r="E252" s="57" t="s">
        <v>369</v>
      </c>
      <c r="F252" s="21">
        <v>10</v>
      </c>
      <c r="G252" s="21">
        <v>10</v>
      </c>
    </row>
    <row r="253" spans="1:7" ht="12.75">
      <c r="A253" s="104" t="s">
        <v>19</v>
      </c>
      <c r="B253" s="104" t="s">
        <v>37</v>
      </c>
      <c r="C253" s="104" t="s">
        <v>66</v>
      </c>
      <c r="D253" s="104" t="s">
        <v>66</v>
      </c>
      <c r="E253" s="105" t="s">
        <v>29</v>
      </c>
      <c r="F253" s="21">
        <f>F254+F284+F277</f>
        <v>25919.800000000003</v>
      </c>
      <c r="G253" s="21">
        <f>G254+G284+G277</f>
        <v>25848.700000000004</v>
      </c>
    </row>
    <row r="254" spans="1:7" ht="12.75">
      <c r="A254" s="9" t="s">
        <v>19</v>
      </c>
      <c r="B254" s="9" t="s">
        <v>88</v>
      </c>
      <c r="C254" s="10"/>
      <c r="D254" s="10"/>
      <c r="E254" s="105" t="s">
        <v>89</v>
      </c>
      <c r="F254" s="21">
        <f>F255+F267</f>
        <v>25680.100000000002</v>
      </c>
      <c r="G254" s="21">
        <f aca="true" t="shared" si="97" ref="G254">G255+G267</f>
        <v>25628.200000000004</v>
      </c>
    </row>
    <row r="255" spans="1:7" ht="47.25">
      <c r="A255" s="9" t="s">
        <v>19</v>
      </c>
      <c r="B255" s="104" t="s">
        <v>88</v>
      </c>
      <c r="C255" s="106">
        <v>1100000000</v>
      </c>
      <c r="D255" s="104"/>
      <c r="E255" s="105" t="s">
        <v>192</v>
      </c>
      <c r="F255" s="21">
        <f aca="true" t="shared" si="98" ref="F255:G262">F256</f>
        <v>25003.100000000002</v>
      </c>
      <c r="G255" s="21">
        <f t="shared" si="98"/>
        <v>24951.200000000004</v>
      </c>
    </row>
    <row r="256" spans="1:7" ht="12.75">
      <c r="A256" s="9" t="s">
        <v>19</v>
      </c>
      <c r="B256" s="104" t="s">
        <v>88</v>
      </c>
      <c r="C256" s="106">
        <v>1120000000</v>
      </c>
      <c r="D256" s="104"/>
      <c r="E256" s="105" t="s">
        <v>119</v>
      </c>
      <c r="F256" s="21">
        <f>F257</f>
        <v>25003.100000000002</v>
      </c>
      <c r="G256" s="21">
        <f t="shared" si="98"/>
        <v>24951.200000000004</v>
      </c>
    </row>
    <row r="257" spans="1:7" ht="63">
      <c r="A257" s="9" t="s">
        <v>19</v>
      </c>
      <c r="B257" s="104" t="s">
        <v>88</v>
      </c>
      <c r="C257" s="106">
        <v>1120100000</v>
      </c>
      <c r="D257" s="104"/>
      <c r="E257" s="105" t="s">
        <v>120</v>
      </c>
      <c r="F257" s="21">
        <f>F261+F258+F264</f>
        <v>25003.100000000002</v>
      </c>
      <c r="G257" s="21">
        <f aca="true" t="shared" si="99" ref="G257">G261+G258+G264</f>
        <v>24951.200000000004</v>
      </c>
    </row>
    <row r="258" spans="1:7" ht="63">
      <c r="A258" s="9" t="s">
        <v>19</v>
      </c>
      <c r="B258" s="104" t="s">
        <v>88</v>
      </c>
      <c r="C258" s="104">
        <v>1120110690</v>
      </c>
      <c r="D258" s="104"/>
      <c r="E258" s="54" t="s">
        <v>276</v>
      </c>
      <c r="F258" s="21">
        <f>F259</f>
        <v>7005.999999999999</v>
      </c>
      <c r="G258" s="21">
        <f aca="true" t="shared" si="100" ref="G258:G259">G259</f>
        <v>6954.1</v>
      </c>
    </row>
    <row r="259" spans="1:7" ht="31.5">
      <c r="A259" s="9" t="s">
        <v>19</v>
      </c>
      <c r="B259" s="104" t="s">
        <v>88</v>
      </c>
      <c r="C259" s="104">
        <v>1120110690</v>
      </c>
      <c r="D259" s="106" t="s">
        <v>94</v>
      </c>
      <c r="E259" s="54" t="s">
        <v>95</v>
      </c>
      <c r="F259" s="21">
        <f>F260</f>
        <v>7005.999999999999</v>
      </c>
      <c r="G259" s="21">
        <f t="shared" si="100"/>
        <v>6954.1</v>
      </c>
    </row>
    <row r="260" spans="1:7" ht="12.75">
      <c r="A260" s="9" t="s">
        <v>19</v>
      </c>
      <c r="B260" s="104" t="s">
        <v>88</v>
      </c>
      <c r="C260" s="104">
        <v>1120110690</v>
      </c>
      <c r="D260" s="104">
        <v>610</v>
      </c>
      <c r="E260" s="54" t="s">
        <v>101</v>
      </c>
      <c r="F260" s="21">
        <f>2890.5+479.2+494+1779.6+1362.7</f>
        <v>7005.999999999999</v>
      </c>
      <c r="G260" s="21">
        <v>6954.1</v>
      </c>
    </row>
    <row r="261" spans="1:7" ht="31.5">
      <c r="A261" s="9" t="s">
        <v>19</v>
      </c>
      <c r="B261" s="104" t="s">
        <v>88</v>
      </c>
      <c r="C261" s="106">
        <v>1120120010</v>
      </c>
      <c r="D261" s="104"/>
      <c r="E261" s="105" t="s">
        <v>121</v>
      </c>
      <c r="F261" s="21">
        <f t="shared" si="98"/>
        <v>17926.2</v>
      </c>
      <c r="G261" s="21">
        <f t="shared" si="98"/>
        <v>17926.2</v>
      </c>
    </row>
    <row r="262" spans="1:7" ht="31.5">
      <c r="A262" s="9" t="s">
        <v>19</v>
      </c>
      <c r="B262" s="104" t="s">
        <v>88</v>
      </c>
      <c r="C262" s="106">
        <v>1120120010</v>
      </c>
      <c r="D262" s="106" t="s">
        <v>94</v>
      </c>
      <c r="E262" s="105" t="s">
        <v>95</v>
      </c>
      <c r="F262" s="21">
        <f t="shared" si="98"/>
        <v>17926.2</v>
      </c>
      <c r="G262" s="21">
        <f t="shared" si="98"/>
        <v>17926.2</v>
      </c>
    </row>
    <row r="263" spans="1:7" ht="12.75">
      <c r="A263" s="9" t="s">
        <v>19</v>
      </c>
      <c r="B263" s="104" t="s">
        <v>88</v>
      </c>
      <c r="C263" s="106">
        <v>1120120010</v>
      </c>
      <c r="D263" s="104">
        <v>610</v>
      </c>
      <c r="E263" s="105" t="s">
        <v>101</v>
      </c>
      <c r="F263" s="21">
        <f>18128.8-235.8-4.9+74.9-5-18-13.8</f>
        <v>17926.2</v>
      </c>
      <c r="G263" s="21">
        <v>17926.2</v>
      </c>
    </row>
    <row r="264" spans="1:7" ht="63">
      <c r="A264" s="9" t="s">
        <v>19</v>
      </c>
      <c r="B264" s="104" t="s">
        <v>88</v>
      </c>
      <c r="C264" s="104" t="s">
        <v>288</v>
      </c>
      <c r="D264" s="104"/>
      <c r="E264" s="54" t="s">
        <v>289</v>
      </c>
      <c r="F264" s="21">
        <f>F265</f>
        <v>70.9</v>
      </c>
      <c r="G264" s="21">
        <f aca="true" t="shared" si="101" ref="G264:G265">G265</f>
        <v>70.9</v>
      </c>
    </row>
    <row r="265" spans="1:7" ht="31.5">
      <c r="A265" s="9" t="s">
        <v>19</v>
      </c>
      <c r="B265" s="104" t="s">
        <v>88</v>
      </c>
      <c r="C265" s="104" t="s">
        <v>288</v>
      </c>
      <c r="D265" s="106" t="s">
        <v>94</v>
      </c>
      <c r="E265" s="54" t="s">
        <v>95</v>
      </c>
      <c r="F265" s="21">
        <f>F266</f>
        <v>70.9</v>
      </c>
      <c r="G265" s="21">
        <f t="shared" si="101"/>
        <v>70.9</v>
      </c>
    </row>
    <row r="266" spans="1:7" ht="12.75">
      <c r="A266" s="9" t="s">
        <v>19</v>
      </c>
      <c r="B266" s="104" t="s">
        <v>88</v>
      </c>
      <c r="C266" s="104" t="s">
        <v>288</v>
      </c>
      <c r="D266" s="104">
        <v>610</v>
      </c>
      <c r="E266" s="54" t="s">
        <v>101</v>
      </c>
      <c r="F266" s="21">
        <f>29.2+4.9+5+18+13.8</f>
        <v>70.9</v>
      </c>
      <c r="G266" s="21">
        <v>70.9</v>
      </c>
    </row>
    <row r="267" spans="1:7" ht="31.5">
      <c r="A267" s="9" t="s">
        <v>19</v>
      </c>
      <c r="B267" s="104" t="s">
        <v>88</v>
      </c>
      <c r="C267" s="106">
        <v>1500000000</v>
      </c>
      <c r="D267" s="104"/>
      <c r="E267" s="105" t="s">
        <v>188</v>
      </c>
      <c r="F267" s="21">
        <f>F268</f>
        <v>677</v>
      </c>
      <c r="G267" s="21">
        <f aca="true" t="shared" si="102" ref="G267:G275">G268</f>
        <v>677</v>
      </c>
    </row>
    <row r="268" spans="1:7" ht="31.5">
      <c r="A268" s="9" t="s">
        <v>19</v>
      </c>
      <c r="B268" s="104" t="s">
        <v>88</v>
      </c>
      <c r="C268" s="106">
        <v>1520000000</v>
      </c>
      <c r="D268" s="104"/>
      <c r="E268" s="105" t="s">
        <v>293</v>
      </c>
      <c r="F268" s="21">
        <f>F273+F269</f>
        <v>677</v>
      </c>
      <c r="G268" s="21">
        <f aca="true" t="shared" si="103" ref="G268">G273+G269</f>
        <v>677</v>
      </c>
    </row>
    <row r="269" spans="1:7" ht="78.75">
      <c r="A269" s="9" t="s">
        <v>19</v>
      </c>
      <c r="B269" s="125" t="s">
        <v>88</v>
      </c>
      <c r="C269" s="125">
        <v>1520100000</v>
      </c>
      <c r="D269" s="125"/>
      <c r="E269" s="54" t="s">
        <v>372</v>
      </c>
      <c r="F269" s="21">
        <f>F270</f>
        <v>235.8</v>
      </c>
      <c r="G269" s="21">
        <f aca="true" t="shared" si="104" ref="G269:G271">G270</f>
        <v>235.8</v>
      </c>
    </row>
    <row r="270" spans="1:7" ht="31.5">
      <c r="A270" s="9" t="s">
        <v>19</v>
      </c>
      <c r="B270" s="125" t="s">
        <v>88</v>
      </c>
      <c r="C270" s="10" t="s">
        <v>373</v>
      </c>
      <c r="D270" s="125"/>
      <c r="E270" s="54" t="s">
        <v>374</v>
      </c>
      <c r="F270" s="21">
        <f>F271</f>
        <v>235.8</v>
      </c>
      <c r="G270" s="21">
        <f t="shared" si="104"/>
        <v>235.8</v>
      </c>
    </row>
    <row r="271" spans="1:7" ht="31.5">
      <c r="A271" s="9" t="s">
        <v>19</v>
      </c>
      <c r="B271" s="125" t="s">
        <v>88</v>
      </c>
      <c r="C271" s="10" t="s">
        <v>373</v>
      </c>
      <c r="D271" s="127" t="s">
        <v>94</v>
      </c>
      <c r="E271" s="54" t="s">
        <v>95</v>
      </c>
      <c r="F271" s="21">
        <f>F272</f>
        <v>235.8</v>
      </c>
      <c r="G271" s="21">
        <f t="shared" si="104"/>
        <v>235.8</v>
      </c>
    </row>
    <row r="272" spans="1:7" ht="12.75">
      <c r="A272" s="9" t="s">
        <v>19</v>
      </c>
      <c r="B272" s="125" t="s">
        <v>88</v>
      </c>
      <c r="C272" s="10" t="s">
        <v>373</v>
      </c>
      <c r="D272" s="125">
        <v>610</v>
      </c>
      <c r="E272" s="54" t="s">
        <v>101</v>
      </c>
      <c r="F272" s="21">
        <v>235.8</v>
      </c>
      <c r="G272" s="21">
        <v>235.8</v>
      </c>
    </row>
    <row r="273" spans="1:7" ht="47.25">
      <c r="A273" s="9" t="s">
        <v>19</v>
      </c>
      <c r="B273" s="104" t="s">
        <v>88</v>
      </c>
      <c r="C273" s="106">
        <v>1520300000</v>
      </c>
      <c r="D273" s="104"/>
      <c r="E273" s="105" t="s">
        <v>346</v>
      </c>
      <c r="F273" s="21">
        <f>F274</f>
        <v>441.2</v>
      </c>
      <c r="G273" s="21">
        <f t="shared" si="102"/>
        <v>441.2</v>
      </c>
    </row>
    <row r="274" spans="1:7" ht="12.75">
      <c r="A274" s="9" t="s">
        <v>19</v>
      </c>
      <c r="B274" s="104" t="s">
        <v>88</v>
      </c>
      <c r="C274" s="106">
        <v>1520320200</v>
      </c>
      <c r="D274" s="104"/>
      <c r="E274" s="54" t="s">
        <v>347</v>
      </c>
      <c r="F274" s="21">
        <f>F275</f>
        <v>441.2</v>
      </c>
      <c r="G274" s="21">
        <f t="shared" si="102"/>
        <v>441.2</v>
      </c>
    </row>
    <row r="275" spans="1:7" ht="31.5">
      <c r="A275" s="9" t="s">
        <v>19</v>
      </c>
      <c r="B275" s="104" t="s">
        <v>88</v>
      </c>
      <c r="C275" s="106">
        <v>1520320200</v>
      </c>
      <c r="D275" s="106" t="s">
        <v>94</v>
      </c>
      <c r="E275" s="54" t="s">
        <v>95</v>
      </c>
      <c r="F275" s="21">
        <f>F276</f>
        <v>441.2</v>
      </c>
      <c r="G275" s="21">
        <f t="shared" si="102"/>
        <v>441.2</v>
      </c>
    </row>
    <row r="276" spans="1:7" ht="12.75">
      <c r="A276" s="9" t="s">
        <v>19</v>
      </c>
      <c r="B276" s="104" t="s">
        <v>88</v>
      </c>
      <c r="C276" s="106">
        <v>1520320200</v>
      </c>
      <c r="D276" s="104">
        <v>610</v>
      </c>
      <c r="E276" s="54" t="s">
        <v>101</v>
      </c>
      <c r="F276" s="21">
        <v>441.2</v>
      </c>
      <c r="G276" s="21">
        <v>441.2</v>
      </c>
    </row>
    <row r="277" spans="1:7" ht="31.5">
      <c r="A277" s="9" t="s">
        <v>19</v>
      </c>
      <c r="B277" s="22" t="s">
        <v>215</v>
      </c>
      <c r="C277" s="106"/>
      <c r="D277" s="104"/>
      <c r="E277" s="105" t="s">
        <v>247</v>
      </c>
      <c r="F277" s="21">
        <f aca="true" t="shared" si="105" ref="F277:G282">F278</f>
        <v>81.4</v>
      </c>
      <c r="G277" s="21">
        <f t="shared" si="105"/>
        <v>71.8</v>
      </c>
    </row>
    <row r="278" spans="1:7" ht="63">
      <c r="A278" s="9" t="s">
        <v>19</v>
      </c>
      <c r="B278" s="22" t="s">
        <v>215</v>
      </c>
      <c r="C278" s="106">
        <v>1600000000</v>
      </c>
      <c r="D278" s="106"/>
      <c r="E278" s="105" t="s">
        <v>111</v>
      </c>
      <c r="F278" s="21">
        <f t="shared" si="105"/>
        <v>81.4</v>
      </c>
      <c r="G278" s="21">
        <f t="shared" si="105"/>
        <v>71.8</v>
      </c>
    </row>
    <row r="279" spans="1:7" ht="47.25">
      <c r="A279" s="9" t="s">
        <v>19</v>
      </c>
      <c r="B279" s="22" t="s">
        <v>215</v>
      </c>
      <c r="C279" s="106">
        <v>1640000000</v>
      </c>
      <c r="D279" s="1"/>
      <c r="E279" s="46" t="s">
        <v>217</v>
      </c>
      <c r="F279" s="21">
        <f t="shared" si="105"/>
        <v>81.4</v>
      </c>
      <c r="G279" s="21">
        <f t="shared" si="105"/>
        <v>71.8</v>
      </c>
    </row>
    <row r="280" spans="1:7" ht="31.5">
      <c r="A280" s="9" t="s">
        <v>19</v>
      </c>
      <c r="B280" s="22" t="s">
        <v>215</v>
      </c>
      <c r="C280" s="106">
        <v>1640100000</v>
      </c>
      <c r="D280" s="104"/>
      <c r="E280" s="105" t="s">
        <v>219</v>
      </c>
      <c r="F280" s="21">
        <f t="shared" si="105"/>
        <v>81.4</v>
      </c>
      <c r="G280" s="21">
        <f t="shared" si="105"/>
        <v>71.8</v>
      </c>
    </row>
    <row r="281" spans="1:7" ht="12.75">
      <c r="A281" s="9" t="s">
        <v>19</v>
      </c>
      <c r="B281" s="22" t="s">
        <v>215</v>
      </c>
      <c r="C281" s="106">
        <v>1640120510</v>
      </c>
      <c r="D281" s="104"/>
      <c r="E281" s="105" t="s">
        <v>221</v>
      </c>
      <c r="F281" s="21">
        <f t="shared" si="105"/>
        <v>81.4</v>
      </c>
      <c r="G281" s="21">
        <f t="shared" si="105"/>
        <v>71.8</v>
      </c>
    </row>
    <row r="282" spans="1:7" ht="31.5">
      <c r="A282" s="9" t="s">
        <v>19</v>
      </c>
      <c r="B282" s="22" t="s">
        <v>215</v>
      </c>
      <c r="C282" s="106">
        <v>1640120510</v>
      </c>
      <c r="D282" s="106" t="s">
        <v>69</v>
      </c>
      <c r="E282" s="105" t="s">
        <v>92</v>
      </c>
      <c r="F282" s="21">
        <f t="shared" si="105"/>
        <v>81.4</v>
      </c>
      <c r="G282" s="21">
        <f t="shared" si="105"/>
        <v>71.8</v>
      </c>
    </row>
    <row r="283" spans="1:7" ht="31.5">
      <c r="A283" s="9" t="s">
        <v>19</v>
      </c>
      <c r="B283" s="22" t="s">
        <v>215</v>
      </c>
      <c r="C283" s="106">
        <v>1640120510</v>
      </c>
      <c r="D283" s="104">
        <v>240</v>
      </c>
      <c r="E283" s="105" t="s">
        <v>245</v>
      </c>
      <c r="F283" s="21">
        <f>150-25.7-42.9</f>
        <v>81.4</v>
      </c>
      <c r="G283" s="21">
        <v>71.8</v>
      </c>
    </row>
    <row r="284" spans="1:7" ht="12.75">
      <c r="A284" s="9" t="s">
        <v>19</v>
      </c>
      <c r="B284" s="104" t="s">
        <v>38</v>
      </c>
      <c r="C284" s="104" t="s">
        <v>66</v>
      </c>
      <c r="D284" s="104" t="s">
        <v>66</v>
      </c>
      <c r="E284" s="105" t="s">
        <v>96</v>
      </c>
      <c r="F284" s="21">
        <f>F295+F285</f>
        <v>158.3</v>
      </c>
      <c r="G284" s="21">
        <f>G295+G285</f>
        <v>148.7</v>
      </c>
    </row>
    <row r="285" spans="1:7" ht="47.25">
      <c r="A285" s="9" t="s">
        <v>19</v>
      </c>
      <c r="B285" s="104" t="s">
        <v>38</v>
      </c>
      <c r="C285" s="106">
        <v>1100000000</v>
      </c>
      <c r="D285" s="104"/>
      <c r="E285" s="105" t="s">
        <v>192</v>
      </c>
      <c r="F285" s="21">
        <f>F286</f>
        <v>85.5</v>
      </c>
      <c r="G285" s="21">
        <f aca="true" t="shared" si="106" ref="G285">G286</f>
        <v>79.6</v>
      </c>
    </row>
    <row r="286" spans="1:7" ht="31.5">
      <c r="A286" s="9" t="s">
        <v>19</v>
      </c>
      <c r="B286" s="104" t="s">
        <v>38</v>
      </c>
      <c r="C286" s="106">
        <v>1130000000</v>
      </c>
      <c r="D286" s="104"/>
      <c r="E286" s="105" t="s">
        <v>112</v>
      </c>
      <c r="F286" s="21">
        <f>F291+F287</f>
        <v>85.5</v>
      </c>
      <c r="G286" s="21">
        <f>G291+G287</f>
        <v>79.6</v>
      </c>
    </row>
    <row r="287" spans="1:7" ht="31.5">
      <c r="A287" s="9" t="s">
        <v>19</v>
      </c>
      <c r="B287" s="104" t="s">
        <v>38</v>
      </c>
      <c r="C287" s="104">
        <v>1130200000</v>
      </c>
      <c r="D287" s="104"/>
      <c r="E287" s="105" t="s">
        <v>184</v>
      </c>
      <c r="F287" s="21">
        <f>F288</f>
        <v>15.7</v>
      </c>
      <c r="G287" s="21">
        <f aca="true" t="shared" si="107" ref="G287:G289">G288</f>
        <v>15.6</v>
      </c>
    </row>
    <row r="288" spans="1:7" ht="31.5">
      <c r="A288" s="9" t="s">
        <v>19</v>
      </c>
      <c r="B288" s="104" t="s">
        <v>38</v>
      </c>
      <c r="C288" s="104">
        <v>1130220270</v>
      </c>
      <c r="D288" s="104"/>
      <c r="E288" s="105" t="s">
        <v>185</v>
      </c>
      <c r="F288" s="21">
        <f>F289</f>
        <v>15.7</v>
      </c>
      <c r="G288" s="21">
        <f t="shared" si="107"/>
        <v>15.6</v>
      </c>
    </row>
    <row r="289" spans="1:7" ht="12.75">
      <c r="A289" s="9" t="s">
        <v>19</v>
      </c>
      <c r="B289" s="104" t="s">
        <v>38</v>
      </c>
      <c r="C289" s="104">
        <v>1130220270</v>
      </c>
      <c r="D289" s="106" t="s">
        <v>73</v>
      </c>
      <c r="E289" s="105" t="s">
        <v>74</v>
      </c>
      <c r="F289" s="21">
        <f>F290</f>
        <v>15.7</v>
      </c>
      <c r="G289" s="21">
        <f t="shared" si="107"/>
        <v>15.6</v>
      </c>
    </row>
    <row r="290" spans="1:7" ht="12.75">
      <c r="A290" s="9" t="s">
        <v>19</v>
      </c>
      <c r="B290" s="104" t="s">
        <v>38</v>
      </c>
      <c r="C290" s="104">
        <v>1130220270</v>
      </c>
      <c r="D290" s="104">
        <v>350</v>
      </c>
      <c r="E290" s="105" t="s">
        <v>159</v>
      </c>
      <c r="F290" s="21">
        <v>15.7</v>
      </c>
      <c r="G290" s="21">
        <v>15.6</v>
      </c>
    </row>
    <row r="291" spans="1:7" ht="31.5">
      <c r="A291" s="9" t="s">
        <v>19</v>
      </c>
      <c r="B291" s="104" t="s">
        <v>38</v>
      </c>
      <c r="C291" s="104">
        <v>1130400000</v>
      </c>
      <c r="D291" s="104"/>
      <c r="E291" s="105" t="s">
        <v>143</v>
      </c>
      <c r="F291" s="21">
        <f>F292</f>
        <v>69.8</v>
      </c>
      <c r="G291" s="21">
        <f aca="true" t="shared" si="108" ref="G291:G293">G292</f>
        <v>64</v>
      </c>
    </row>
    <row r="292" spans="1:7" ht="31.5">
      <c r="A292" s="9" t="s">
        <v>19</v>
      </c>
      <c r="B292" s="104" t="s">
        <v>38</v>
      </c>
      <c r="C292" s="104">
        <v>1130420290</v>
      </c>
      <c r="D292" s="104"/>
      <c r="E292" s="105" t="s">
        <v>144</v>
      </c>
      <c r="F292" s="21">
        <f>F293</f>
        <v>69.8</v>
      </c>
      <c r="G292" s="21">
        <f t="shared" si="108"/>
        <v>64</v>
      </c>
    </row>
    <row r="293" spans="1:7" ht="31.5">
      <c r="A293" s="9" t="s">
        <v>19</v>
      </c>
      <c r="B293" s="104" t="s">
        <v>38</v>
      </c>
      <c r="C293" s="104">
        <v>1130420290</v>
      </c>
      <c r="D293" s="106" t="s">
        <v>69</v>
      </c>
      <c r="E293" s="105" t="s">
        <v>92</v>
      </c>
      <c r="F293" s="21">
        <f>F294</f>
        <v>69.8</v>
      </c>
      <c r="G293" s="21">
        <f t="shared" si="108"/>
        <v>64</v>
      </c>
    </row>
    <row r="294" spans="1:7" ht="31.5">
      <c r="A294" s="9" t="s">
        <v>19</v>
      </c>
      <c r="B294" s="104" t="s">
        <v>38</v>
      </c>
      <c r="C294" s="104">
        <v>1130420290</v>
      </c>
      <c r="D294" s="106">
        <v>240</v>
      </c>
      <c r="E294" s="105" t="s">
        <v>245</v>
      </c>
      <c r="F294" s="21">
        <v>69.8</v>
      </c>
      <c r="G294" s="21">
        <v>64</v>
      </c>
    </row>
    <row r="295" spans="1:7" ht="47.25">
      <c r="A295" s="9" t="s">
        <v>19</v>
      </c>
      <c r="B295" s="104" t="s">
        <v>38</v>
      </c>
      <c r="C295" s="106">
        <v>1200000000</v>
      </c>
      <c r="D295" s="104"/>
      <c r="E295" s="105" t="s">
        <v>187</v>
      </c>
      <c r="F295" s="21">
        <f>F296</f>
        <v>72.8</v>
      </c>
      <c r="G295" s="21">
        <f aca="true" t="shared" si="109" ref="G295:G296">G296</f>
        <v>69.1</v>
      </c>
    </row>
    <row r="296" spans="1:7" ht="47.25">
      <c r="A296" s="9" t="s">
        <v>19</v>
      </c>
      <c r="B296" s="104" t="s">
        <v>38</v>
      </c>
      <c r="C296" s="106">
        <v>1240000000</v>
      </c>
      <c r="D296" s="10"/>
      <c r="E296" s="105" t="s">
        <v>133</v>
      </c>
      <c r="F296" s="21">
        <f>F297</f>
        <v>72.8</v>
      </c>
      <c r="G296" s="21">
        <f t="shared" si="109"/>
        <v>69.1</v>
      </c>
    </row>
    <row r="297" spans="1:7" ht="31.5">
      <c r="A297" s="9" t="s">
        <v>19</v>
      </c>
      <c r="B297" s="104" t="s">
        <v>38</v>
      </c>
      <c r="C297" s="10" t="s">
        <v>135</v>
      </c>
      <c r="D297" s="10"/>
      <c r="E297" s="105" t="s">
        <v>143</v>
      </c>
      <c r="F297" s="21">
        <f>F298+F301+F304</f>
        <v>72.8</v>
      </c>
      <c r="G297" s="21">
        <f>G298+G301+G304</f>
        <v>69.1</v>
      </c>
    </row>
    <row r="298" spans="1:7" ht="31.5">
      <c r="A298" s="9" t="s">
        <v>19</v>
      </c>
      <c r="B298" s="104" t="s">
        <v>38</v>
      </c>
      <c r="C298" s="10" t="s">
        <v>137</v>
      </c>
      <c r="D298" s="10"/>
      <c r="E298" s="105" t="s">
        <v>136</v>
      </c>
      <c r="F298" s="21">
        <f>F299</f>
        <v>22.8</v>
      </c>
      <c r="G298" s="21">
        <f aca="true" t="shared" si="110" ref="G298:G299">G299</f>
        <v>22.8</v>
      </c>
    </row>
    <row r="299" spans="1:7" ht="31.5">
      <c r="A299" s="9" t="s">
        <v>19</v>
      </c>
      <c r="B299" s="104" t="s">
        <v>38</v>
      </c>
      <c r="C299" s="10" t="s">
        <v>137</v>
      </c>
      <c r="D299" s="106" t="s">
        <v>69</v>
      </c>
      <c r="E299" s="105" t="s">
        <v>92</v>
      </c>
      <c r="F299" s="21">
        <f>F300</f>
        <v>22.8</v>
      </c>
      <c r="G299" s="21">
        <f t="shared" si="110"/>
        <v>22.8</v>
      </c>
    </row>
    <row r="300" spans="1:7" ht="31.5">
      <c r="A300" s="9" t="s">
        <v>19</v>
      </c>
      <c r="B300" s="104" t="s">
        <v>38</v>
      </c>
      <c r="C300" s="10" t="s">
        <v>137</v>
      </c>
      <c r="D300" s="104">
        <v>240</v>
      </c>
      <c r="E300" s="105" t="s">
        <v>245</v>
      </c>
      <c r="F300" s="21">
        <v>22.8</v>
      </c>
      <c r="G300" s="21">
        <v>22.8</v>
      </c>
    </row>
    <row r="301" spans="1:7" ht="31.5">
      <c r="A301" s="9" t="s">
        <v>19</v>
      </c>
      <c r="B301" s="104" t="s">
        <v>38</v>
      </c>
      <c r="C301" s="10" t="s">
        <v>139</v>
      </c>
      <c r="D301" s="10"/>
      <c r="E301" s="105" t="s">
        <v>138</v>
      </c>
      <c r="F301" s="21">
        <f>F302</f>
        <v>14</v>
      </c>
      <c r="G301" s="21">
        <f aca="true" t="shared" si="111" ref="G301:G302">G302</f>
        <v>10.3</v>
      </c>
    </row>
    <row r="302" spans="1:7" ht="31.5">
      <c r="A302" s="9" t="s">
        <v>19</v>
      </c>
      <c r="B302" s="104" t="s">
        <v>38</v>
      </c>
      <c r="C302" s="10" t="s">
        <v>139</v>
      </c>
      <c r="D302" s="106" t="s">
        <v>69</v>
      </c>
      <c r="E302" s="105" t="s">
        <v>92</v>
      </c>
      <c r="F302" s="21">
        <f>F303</f>
        <v>14</v>
      </c>
      <c r="G302" s="21">
        <f t="shared" si="111"/>
        <v>10.3</v>
      </c>
    </row>
    <row r="303" spans="1:7" ht="31.5">
      <c r="A303" s="9" t="s">
        <v>19</v>
      </c>
      <c r="B303" s="104" t="s">
        <v>38</v>
      </c>
      <c r="C303" s="10" t="s">
        <v>139</v>
      </c>
      <c r="D303" s="104">
        <v>240</v>
      </c>
      <c r="E303" s="105" t="s">
        <v>245</v>
      </c>
      <c r="F303" s="21">
        <v>14</v>
      </c>
      <c r="G303" s="21">
        <v>10.3</v>
      </c>
    </row>
    <row r="304" spans="1:7" ht="12.75">
      <c r="A304" s="9" t="s">
        <v>19</v>
      </c>
      <c r="B304" s="104" t="s">
        <v>38</v>
      </c>
      <c r="C304" s="10" t="s">
        <v>216</v>
      </c>
      <c r="D304" s="10"/>
      <c r="E304" s="105" t="s">
        <v>140</v>
      </c>
      <c r="F304" s="21">
        <f>F305</f>
        <v>36</v>
      </c>
      <c r="G304" s="21">
        <f aca="true" t="shared" si="112" ref="G304:G305">G305</f>
        <v>36</v>
      </c>
    </row>
    <row r="305" spans="1:7" ht="12.75">
      <c r="A305" s="9" t="s">
        <v>19</v>
      </c>
      <c r="B305" s="104" t="s">
        <v>38</v>
      </c>
      <c r="C305" s="10" t="s">
        <v>216</v>
      </c>
      <c r="D305" s="106" t="s">
        <v>73</v>
      </c>
      <c r="E305" s="105" t="s">
        <v>74</v>
      </c>
      <c r="F305" s="21">
        <f>F306</f>
        <v>36</v>
      </c>
      <c r="G305" s="21">
        <f t="shared" si="112"/>
        <v>36</v>
      </c>
    </row>
    <row r="306" spans="1:7" ht="12.75">
      <c r="A306" s="9" t="s">
        <v>19</v>
      </c>
      <c r="B306" s="104" t="s">
        <v>38</v>
      </c>
      <c r="C306" s="10" t="s">
        <v>216</v>
      </c>
      <c r="D306" s="10" t="s">
        <v>141</v>
      </c>
      <c r="E306" s="105" t="s">
        <v>142</v>
      </c>
      <c r="F306" s="21">
        <v>36</v>
      </c>
      <c r="G306" s="21">
        <v>36</v>
      </c>
    </row>
    <row r="307" spans="1:7" ht="12.75">
      <c r="A307" s="104" t="s">
        <v>19</v>
      </c>
      <c r="B307" s="104" t="s">
        <v>41</v>
      </c>
      <c r="C307" s="104" t="s">
        <v>66</v>
      </c>
      <c r="D307" s="104" t="s">
        <v>66</v>
      </c>
      <c r="E307" s="42" t="s">
        <v>82</v>
      </c>
      <c r="F307" s="21">
        <f>F308</f>
        <v>41225</v>
      </c>
      <c r="G307" s="21">
        <f aca="true" t="shared" si="113" ref="G307">G308</f>
        <v>41204.4</v>
      </c>
    </row>
    <row r="308" spans="1:7" ht="12.75">
      <c r="A308" s="104" t="s">
        <v>19</v>
      </c>
      <c r="B308" s="143" t="s">
        <v>42</v>
      </c>
      <c r="C308" s="143" t="s">
        <v>66</v>
      </c>
      <c r="D308" s="143" t="s">
        <v>66</v>
      </c>
      <c r="E308" s="144" t="s">
        <v>13</v>
      </c>
      <c r="F308" s="21">
        <f>F315+F355+F365+F309</f>
        <v>41225</v>
      </c>
      <c r="G308" s="21">
        <f>G315+G355+G365+G309</f>
        <v>41204.4</v>
      </c>
    </row>
    <row r="309" spans="1:7" ht="47.25">
      <c r="A309" s="143" t="s">
        <v>19</v>
      </c>
      <c r="B309" s="143" t="s">
        <v>42</v>
      </c>
      <c r="C309" s="145">
        <v>1100000000</v>
      </c>
      <c r="D309" s="24"/>
      <c r="E309" s="144" t="s">
        <v>192</v>
      </c>
      <c r="F309" s="21">
        <f>F310</f>
        <v>384.4</v>
      </c>
      <c r="G309" s="21">
        <f aca="true" t="shared" si="114" ref="G309:G313">G310</f>
        <v>384.4</v>
      </c>
    </row>
    <row r="310" spans="1:7" ht="31.5">
      <c r="A310" s="143" t="s">
        <v>19</v>
      </c>
      <c r="B310" s="143" t="s">
        <v>42</v>
      </c>
      <c r="C310" s="145">
        <v>1130000000</v>
      </c>
      <c r="D310" s="24"/>
      <c r="E310" s="144" t="s">
        <v>112</v>
      </c>
      <c r="F310" s="21">
        <f>F311</f>
        <v>384.4</v>
      </c>
      <c r="G310" s="21">
        <f t="shared" si="114"/>
        <v>384.4</v>
      </c>
    </row>
    <row r="311" spans="1:7" ht="63">
      <c r="A311" s="143" t="s">
        <v>19</v>
      </c>
      <c r="B311" s="143" t="s">
        <v>42</v>
      </c>
      <c r="C311" s="145">
        <v>1130300000</v>
      </c>
      <c r="D311" s="24"/>
      <c r="E311" s="144" t="s">
        <v>113</v>
      </c>
      <c r="F311" s="21">
        <f>F312</f>
        <v>384.4</v>
      </c>
      <c r="G311" s="21">
        <f t="shared" si="114"/>
        <v>384.4</v>
      </c>
    </row>
    <row r="312" spans="1:7" ht="31.5">
      <c r="A312" s="143" t="s">
        <v>19</v>
      </c>
      <c r="B312" s="143" t="s">
        <v>42</v>
      </c>
      <c r="C312" s="145">
        <v>1130320280</v>
      </c>
      <c r="D312" s="24"/>
      <c r="E312" s="144" t="s">
        <v>114</v>
      </c>
      <c r="F312" s="21">
        <f>F313</f>
        <v>384.4</v>
      </c>
      <c r="G312" s="21">
        <f t="shared" si="114"/>
        <v>384.4</v>
      </c>
    </row>
    <row r="313" spans="1:7" ht="31.5">
      <c r="A313" s="143" t="s">
        <v>19</v>
      </c>
      <c r="B313" s="143" t="s">
        <v>42</v>
      </c>
      <c r="C313" s="145">
        <v>1130320280</v>
      </c>
      <c r="D313" s="145" t="s">
        <v>94</v>
      </c>
      <c r="E313" s="144" t="s">
        <v>95</v>
      </c>
      <c r="F313" s="21">
        <f>F314</f>
        <v>384.4</v>
      </c>
      <c r="G313" s="21">
        <f t="shared" si="114"/>
        <v>384.4</v>
      </c>
    </row>
    <row r="314" spans="1:7" ht="12.75">
      <c r="A314" s="143" t="s">
        <v>19</v>
      </c>
      <c r="B314" s="143" t="s">
        <v>42</v>
      </c>
      <c r="C314" s="145">
        <v>1130320280</v>
      </c>
      <c r="D314" s="143">
        <v>610</v>
      </c>
      <c r="E314" s="144" t="s">
        <v>101</v>
      </c>
      <c r="F314" s="21">
        <f>348+36.4</f>
        <v>384.4</v>
      </c>
      <c r="G314" s="21">
        <v>384.4</v>
      </c>
    </row>
    <row r="315" spans="1:7" ht="47.25">
      <c r="A315" s="104" t="s">
        <v>19</v>
      </c>
      <c r="B315" s="143" t="s">
        <v>42</v>
      </c>
      <c r="C315" s="145">
        <v>1200000000</v>
      </c>
      <c r="D315" s="143"/>
      <c r="E315" s="144" t="s">
        <v>187</v>
      </c>
      <c r="F315" s="21">
        <f>F316+F334</f>
        <v>39359.4</v>
      </c>
      <c r="G315" s="21">
        <f>G316+G334</f>
        <v>39338.8</v>
      </c>
    </row>
    <row r="316" spans="1:7" ht="31.5">
      <c r="A316" s="104" t="s">
        <v>19</v>
      </c>
      <c r="B316" s="104" t="s">
        <v>42</v>
      </c>
      <c r="C316" s="106">
        <v>1210000000</v>
      </c>
      <c r="D316" s="104"/>
      <c r="E316" s="105" t="s">
        <v>200</v>
      </c>
      <c r="F316" s="21">
        <f>F317+F327</f>
        <v>12971.199999999999</v>
      </c>
      <c r="G316" s="21">
        <f>G317+G327</f>
        <v>12971.2</v>
      </c>
    </row>
    <row r="317" spans="1:7" ht="31.5">
      <c r="A317" s="104" t="s">
        <v>19</v>
      </c>
      <c r="B317" s="104" t="s">
        <v>42</v>
      </c>
      <c r="C317" s="106">
        <v>1210100000</v>
      </c>
      <c r="D317" s="104"/>
      <c r="E317" s="105" t="s">
        <v>201</v>
      </c>
      <c r="F317" s="21">
        <f>F321+F318+F324</f>
        <v>12871.199999999999</v>
      </c>
      <c r="G317" s="21">
        <f aca="true" t="shared" si="115" ref="G317">G321+G318+G324</f>
        <v>12871.2</v>
      </c>
    </row>
    <row r="318" spans="1:7" ht="47.25">
      <c r="A318" s="104" t="s">
        <v>19</v>
      </c>
      <c r="B318" s="104" t="s">
        <v>42</v>
      </c>
      <c r="C318" s="106">
        <v>1210110680</v>
      </c>
      <c r="D318" s="104"/>
      <c r="E318" s="59" t="s">
        <v>277</v>
      </c>
      <c r="F318" s="21">
        <f>F319</f>
        <v>4807</v>
      </c>
      <c r="G318" s="21">
        <f aca="true" t="shared" si="116" ref="G318:G319">G319</f>
        <v>4807</v>
      </c>
    </row>
    <row r="319" spans="1:7" ht="31.5">
      <c r="A319" s="104" t="s">
        <v>19</v>
      </c>
      <c r="B319" s="104" t="s">
        <v>42</v>
      </c>
      <c r="C319" s="106">
        <v>1210110680</v>
      </c>
      <c r="D319" s="106" t="s">
        <v>94</v>
      </c>
      <c r="E319" s="54" t="s">
        <v>95</v>
      </c>
      <c r="F319" s="21">
        <f>F320</f>
        <v>4807</v>
      </c>
      <c r="G319" s="21">
        <f t="shared" si="116"/>
        <v>4807</v>
      </c>
    </row>
    <row r="320" spans="1:7" ht="12.75">
      <c r="A320" s="104" t="s">
        <v>19</v>
      </c>
      <c r="B320" s="104" t="s">
        <v>42</v>
      </c>
      <c r="C320" s="106">
        <v>1210110680</v>
      </c>
      <c r="D320" s="104">
        <v>610</v>
      </c>
      <c r="E320" s="54" t="s">
        <v>101</v>
      </c>
      <c r="F320" s="21">
        <f>4381.4+425.6</f>
        <v>4807</v>
      </c>
      <c r="G320" s="21">
        <v>4807</v>
      </c>
    </row>
    <row r="321" spans="1:7" ht="31.5">
      <c r="A321" s="104" t="s">
        <v>19</v>
      </c>
      <c r="B321" s="104" t="s">
        <v>42</v>
      </c>
      <c r="C321" s="106">
        <v>1210120010</v>
      </c>
      <c r="D321" s="104"/>
      <c r="E321" s="105" t="s">
        <v>121</v>
      </c>
      <c r="F321" s="21">
        <f>F322</f>
        <v>8015.599999999999</v>
      </c>
      <c r="G321" s="21">
        <f aca="true" t="shared" si="117" ref="G321:G322">G322</f>
        <v>8015.6</v>
      </c>
    </row>
    <row r="322" spans="1:7" ht="31.5">
      <c r="A322" s="104" t="s">
        <v>19</v>
      </c>
      <c r="B322" s="104" t="s">
        <v>42</v>
      </c>
      <c r="C322" s="106">
        <v>1210120010</v>
      </c>
      <c r="D322" s="106" t="s">
        <v>94</v>
      </c>
      <c r="E322" s="105" t="s">
        <v>95</v>
      </c>
      <c r="F322" s="21">
        <f>F323</f>
        <v>8015.599999999999</v>
      </c>
      <c r="G322" s="21">
        <f t="shared" si="117"/>
        <v>8015.6</v>
      </c>
    </row>
    <row r="323" spans="1:7" ht="12.75">
      <c r="A323" s="104" t="s">
        <v>19</v>
      </c>
      <c r="B323" s="104" t="s">
        <v>42</v>
      </c>
      <c r="C323" s="106">
        <v>1210120010</v>
      </c>
      <c r="D323" s="104">
        <v>610</v>
      </c>
      <c r="E323" s="105" t="s">
        <v>101</v>
      </c>
      <c r="F323" s="21">
        <f>8039.9-20-4.3</f>
        <v>8015.599999999999</v>
      </c>
      <c r="G323" s="21">
        <v>8015.6</v>
      </c>
    </row>
    <row r="324" spans="1:7" ht="47.25">
      <c r="A324" s="104" t="s">
        <v>19</v>
      </c>
      <c r="B324" s="104" t="s">
        <v>42</v>
      </c>
      <c r="C324" s="106" t="s">
        <v>290</v>
      </c>
      <c r="D324" s="104"/>
      <c r="E324" s="59" t="s">
        <v>291</v>
      </c>
      <c r="F324" s="21">
        <f>F325</f>
        <v>48.599999999999994</v>
      </c>
      <c r="G324" s="21">
        <f aca="true" t="shared" si="118" ref="G324:G325">G325</f>
        <v>48.6</v>
      </c>
    </row>
    <row r="325" spans="1:7" ht="31.5">
      <c r="A325" s="104" t="s">
        <v>19</v>
      </c>
      <c r="B325" s="104" t="s">
        <v>42</v>
      </c>
      <c r="C325" s="106" t="s">
        <v>290</v>
      </c>
      <c r="D325" s="106" t="s">
        <v>94</v>
      </c>
      <c r="E325" s="54" t="s">
        <v>95</v>
      </c>
      <c r="F325" s="21">
        <f>F326</f>
        <v>48.599999999999994</v>
      </c>
      <c r="G325" s="21">
        <f t="shared" si="118"/>
        <v>48.6</v>
      </c>
    </row>
    <row r="326" spans="1:7" ht="12.75">
      <c r="A326" s="104" t="s">
        <v>19</v>
      </c>
      <c r="B326" s="104" t="s">
        <v>42</v>
      </c>
      <c r="C326" s="106" t="s">
        <v>290</v>
      </c>
      <c r="D326" s="104">
        <v>610</v>
      </c>
      <c r="E326" s="54" t="s">
        <v>101</v>
      </c>
      <c r="F326" s="21">
        <f>44.3+4.3</f>
        <v>48.599999999999994</v>
      </c>
      <c r="G326" s="21">
        <v>48.6</v>
      </c>
    </row>
    <row r="327" spans="1:7" ht="47.25">
      <c r="A327" s="104" t="s">
        <v>19</v>
      </c>
      <c r="B327" s="104" t="s">
        <v>42</v>
      </c>
      <c r="C327" s="106">
        <v>1210300000</v>
      </c>
      <c r="D327" s="104"/>
      <c r="E327" s="105" t="s">
        <v>202</v>
      </c>
      <c r="F327" s="21">
        <f>F328+F331</f>
        <v>100</v>
      </c>
      <c r="G327" s="21">
        <f aca="true" t="shared" si="119" ref="G327">G328+G331</f>
        <v>100</v>
      </c>
    </row>
    <row r="328" spans="1:7" ht="31.5">
      <c r="A328" s="104" t="s">
        <v>19</v>
      </c>
      <c r="B328" s="104" t="s">
        <v>42</v>
      </c>
      <c r="C328" s="104">
        <v>1210320010</v>
      </c>
      <c r="D328" s="104"/>
      <c r="E328" s="48" t="s">
        <v>242</v>
      </c>
      <c r="F328" s="21">
        <f>F329</f>
        <v>80</v>
      </c>
      <c r="G328" s="21">
        <f aca="true" t="shared" si="120" ref="G328:G329">G329</f>
        <v>80</v>
      </c>
    </row>
    <row r="329" spans="1:7" ht="31.5">
      <c r="A329" s="104" t="s">
        <v>19</v>
      </c>
      <c r="B329" s="104" t="s">
        <v>42</v>
      </c>
      <c r="C329" s="104">
        <v>1210320010</v>
      </c>
      <c r="D329" s="106" t="s">
        <v>94</v>
      </c>
      <c r="E329" s="105" t="s">
        <v>95</v>
      </c>
      <c r="F329" s="21">
        <f>F330</f>
        <v>80</v>
      </c>
      <c r="G329" s="21">
        <f t="shared" si="120"/>
        <v>80</v>
      </c>
    </row>
    <row r="330" spans="1:7" ht="12.75">
      <c r="A330" s="104" t="s">
        <v>19</v>
      </c>
      <c r="B330" s="104" t="s">
        <v>42</v>
      </c>
      <c r="C330" s="104">
        <v>1210320010</v>
      </c>
      <c r="D330" s="104">
        <v>610</v>
      </c>
      <c r="E330" s="105" t="s">
        <v>101</v>
      </c>
      <c r="F330" s="21">
        <v>80</v>
      </c>
      <c r="G330" s="21">
        <v>80</v>
      </c>
    </row>
    <row r="331" spans="1:7" ht="31.5">
      <c r="A331" s="134" t="s">
        <v>19</v>
      </c>
      <c r="B331" s="134" t="s">
        <v>42</v>
      </c>
      <c r="C331" s="134" t="s">
        <v>393</v>
      </c>
      <c r="D331" s="134"/>
      <c r="E331" s="48" t="s">
        <v>242</v>
      </c>
      <c r="F331" s="21">
        <f>F332</f>
        <v>20</v>
      </c>
      <c r="G331" s="21">
        <f aca="true" t="shared" si="121" ref="G331:G332">G332</f>
        <v>20</v>
      </c>
    </row>
    <row r="332" spans="1:7" ht="31.5">
      <c r="A332" s="134" t="s">
        <v>19</v>
      </c>
      <c r="B332" s="134" t="s">
        <v>42</v>
      </c>
      <c r="C332" s="134" t="s">
        <v>393</v>
      </c>
      <c r="D332" s="136" t="s">
        <v>94</v>
      </c>
      <c r="E332" s="135" t="s">
        <v>95</v>
      </c>
      <c r="F332" s="21">
        <f>F333</f>
        <v>20</v>
      </c>
      <c r="G332" s="21">
        <f t="shared" si="121"/>
        <v>20</v>
      </c>
    </row>
    <row r="333" spans="1:7" ht="12.75">
      <c r="A333" s="134" t="s">
        <v>19</v>
      </c>
      <c r="B333" s="134" t="s">
        <v>42</v>
      </c>
      <c r="C333" s="134" t="s">
        <v>393</v>
      </c>
      <c r="D333" s="134">
        <v>610</v>
      </c>
      <c r="E333" s="135" t="s">
        <v>101</v>
      </c>
      <c r="F333" s="21">
        <v>20</v>
      </c>
      <c r="G333" s="21">
        <v>20</v>
      </c>
    </row>
    <row r="334" spans="1:7" ht="47.25">
      <c r="A334" s="104" t="s">
        <v>19</v>
      </c>
      <c r="B334" s="104" t="s">
        <v>42</v>
      </c>
      <c r="C334" s="106">
        <v>1220000000</v>
      </c>
      <c r="D334" s="104"/>
      <c r="E334" s="105" t="s">
        <v>145</v>
      </c>
      <c r="F334" s="21">
        <f>F335+F345+F351</f>
        <v>26388.2</v>
      </c>
      <c r="G334" s="21">
        <f>G335+G345+G351</f>
        <v>26367.600000000002</v>
      </c>
    </row>
    <row r="335" spans="1:7" ht="47.25">
      <c r="A335" s="104" t="s">
        <v>19</v>
      </c>
      <c r="B335" s="104" t="s">
        <v>42</v>
      </c>
      <c r="C335" s="104">
        <v>1220100000</v>
      </c>
      <c r="D335" s="104"/>
      <c r="E335" s="105" t="s">
        <v>203</v>
      </c>
      <c r="F335" s="21">
        <f>F339+F336+F342</f>
        <v>23951.4</v>
      </c>
      <c r="G335" s="21">
        <f aca="true" t="shared" si="122" ref="G335">G339+G336+G342</f>
        <v>23951.4</v>
      </c>
    </row>
    <row r="336" spans="1:7" ht="47.25">
      <c r="A336" s="104" t="s">
        <v>19</v>
      </c>
      <c r="B336" s="104" t="s">
        <v>42</v>
      </c>
      <c r="C336" s="104">
        <v>1220110680</v>
      </c>
      <c r="D336" s="104"/>
      <c r="E336" s="59" t="s">
        <v>277</v>
      </c>
      <c r="F336" s="21">
        <f>F337</f>
        <v>9550.1</v>
      </c>
      <c r="G336" s="21">
        <f aca="true" t="shared" si="123" ref="G336:G337">G337</f>
        <v>9550.1</v>
      </c>
    </row>
    <row r="337" spans="1:7" ht="31.5">
      <c r="A337" s="104" t="s">
        <v>19</v>
      </c>
      <c r="B337" s="104" t="s">
        <v>42</v>
      </c>
      <c r="C337" s="104">
        <v>1220110680</v>
      </c>
      <c r="D337" s="106" t="s">
        <v>94</v>
      </c>
      <c r="E337" s="54" t="s">
        <v>95</v>
      </c>
      <c r="F337" s="21">
        <f>F338</f>
        <v>9550.1</v>
      </c>
      <c r="G337" s="21">
        <f t="shared" si="123"/>
        <v>9550.1</v>
      </c>
    </row>
    <row r="338" spans="1:7" ht="12.75">
      <c r="A338" s="104" t="s">
        <v>19</v>
      </c>
      <c r="B338" s="104" t="s">
        <v>42</v>
      </c>
      <c r="C338" s="104">
        <v>1220110680</v>
      </c>
      <c r="D338" s="104">
        <v>610</v>
      </c>
      <c r="E338" s="54" t="s">
        <v>101</v>
      </c>
      <c r="F338" s="21">
        <f>8811.4+738.7</f>
        <v>9550.1</v>
      </c>
      <c r="G338" s="21">
        <v>9550.1</v>
      </c>
    </row>
    <row r="339" spans="1:7" ht="31.5">
      <c r="A339" s="104" t="s">
        <v>19</v>
      </c>
      <c r="B339" s="104" t="s">
        <v>42</v>
      </c>
      <c r="C339" s="104">
        <v>1220120010</v>
      </c>
      <c r="D339" s="104"/>
      <c r="E339" s="105" t="s">
        <v>121</v>
      </c>
      <c r="F339" s="21">
        <f>F340</f>
        <v>14304.8</v>
      </c>
      <c r="G339" s="21">
        <f aca="true" t="shared" si="124" ref="G339:G340">G340</f>
        <v>14304.8</v>
      </c>
    </row>
    <row r="340" spans="1:7" ht="31.5">
      <c r="A340" s="104" t="s">
        <v>19</v>
      </c>
      <c r="B340" s="104" t="s">
        <v>42</v>
      </c>
      <c r="C340" s="104">
        <v>1220120010</v>
      </c>
      <c r="D340" s="106" t="s">
        <v>94</v>
      </c>
      <c r="E340" s="105" t="s">
        <v>95</v>
      </c>
      <c r="F340" s="21">
        <f>F341</f>
        <v>14304.8</v>
      </c>
      <c r="G340" s="21">
        <f t="shared" si="124"/>
        <v>14304.8</v>
      </c>
    </row>
    <row r="341" spans="1:7" ht="12.75">
      <c r="A341" s="104" t="s">
        <v>19</v>
      </c>
      <c r="B341" s="104" t="s">
        <v>42</v>
      </c>
      <c r="C341" s="104">
        <v>1220120010</v>
      </c>
      <c r="D341" s="104">
        <v>610</v>
      </c>
      <c r="E341" s="105" t="s">
        <v>101</v>
      </c>
      <c r="F341" s="21">
        <f>14312.3-7.5</f>
        <v>14304.8</v>
      </c>
      <c r="G341" s="21">
        <v>14304.8</v>
      </c>
    </row>
    <row r="342" spans="1:7" ht="47.25">
      <c r="A342" s="104" t="s">
        <v>19</v>
      </c>
      <c r="B342" s="104" t="s">
        <v>42</v>
      </c>
      <c r="C342" s="104" t="s">
        <v>292</v>
      </c>
      <c r="D342" s="104"/>
      <c r="E342" s="59" t="s">
        <v>291</v>
      </c>
      <c r="F342" s="21">
        <f>F343</f>
        <v>96.5</v>
      </c>
      <c r="G342" s="21">
        <f aca="true" t="shared" si="125" ref="G342:G343">G343</f>
        <v>96.5</v>
      </c>
    </row>
    <row r="343" spans="1:7" ht="31.5">
      <c r="A343" s="104" t="s">
        <v>19</v>
      </c>
      <c r="B343" s="104" t="s">
        <v>42</v>
      </c>
      <c r="C343" s="104" t="s">
        <v>292</v>
      </c>
      <c r="D343" s="106" t="s">
        <v>94</v>
      </c>
      <c r="E343" s="54" t="s">
        <v>95</v>
      </c>
      <c r="F343" s="21">
        <f>F344</f>
        <v>96.5</v>
      </c>
      <c r="G343" s="21">
        <f t="shared" si="125"/>
        <v>96.5</v>
      </c>
    </row>
    <row r="344" spans="1:7" ht="12.75">
      <c r="A344" s="104" t="s">
        <v>19</v>
      </c>
      <c r="B344" s="104" t="s">
        <v>42</v>
      </c>
      <c r="C344" s="104" t="s">
        <v>292</v>
      </c>
      <c r="D344" s="104">
        <v>610</v>
      </c>
      <c r="E344" s="54" t="s">
        <v>101</v>
      </c>
      <c r="F344" s="21">
        <f>89+7.5</f>
        <v>96.5</v>
      </c>
      <c r="G344" s="21">
        <v>96.5</v>
      </c>
    </row>
    <row r="345" spans="1:7" ht="31.5">
      <c r="A345" s="104" t="s">
        <v>19</v>
      </c>
      <c r="B345" s="104" t="s">
        <v>42</v>
      </c>
      <c r="C345" s="104">
        <v>1220500000</v>
      </c>
      <c r="D345" s="104"/>
      <c r="E345" s="105" t="s">
        <v>204</v>
      </c>
      <c r="F345" s="21">
        <f>F346</f>
        <v>2136.8</v>
      </c>
      <c r="G345" s="21">
        <f aca="true" t="shared" si="126" ref="G345:G349">G346</f>
        <v>2116.2000000000003</v>
      </c>
    </row>
    <row r="346" spans="1:7" ht="12.75">
      <c r="A346" s="104" t="s">
        <v>19</v>
      </c>
      <c r="B346" s="104" t="s">
        <v>42</v>
      </c>
      <c r="C346" s="104">
        <v>1220520320</v>
      </c>
      <c r="D346" s="104"/>
      <c r="E346" s="105" t="s">
        <v>146</v>
      </c>
      <c r="F346" s="21">
        <f>F349+F347</f>
        <v>2136.8</v>
      </c>
      <c r="G346" s="21">
        <f aca="true" t="shared" si="127" ref="G346">G349+G347</f>
        <v>2116.2000000000003</v>
      </c>
    </row>
    <row r="347" spans="1:7" ht="31.5">
      <c r="A347" s="104" t="s">
        <v>19</v>
      </c>
      <c r="B347" s="104" t="s">
        <v>42</v>
      </c>
      <c r="C347" s="104">
        <v>1220520320</v>
      </c>
      <c r="D347" s="106" t="s">
        <v>69</v>
      </c>
      <c r="E347" s="105" t="s">
        <v>92</v>
      </c>
      <c r="F347" s="21">
        <f>F348</f>
        <v>24</v>
      </c>
      <c r="G347" s="21">
        <f aca="true" t="shared" si="128" ref="G347">G348</f>
        <v>3.4</v>
      </c>
    </row>
    <row r="348" spans="1:7" ht="31.5">
      <c r="A348" s="104" t="s">
        <v>19</v>
      </c>
      <c r="B348" s="104" t="s">
        <v>42</v>
      </c>
      <c r="C348" s="104">
        <v>1220520320</v>
      </c>
      <c r="D348" s="104">
        <v>240</v>
      </c>
      <c r="E348" s="105" t="s">
        <v>245</v>
      </c>
      <c r="F348" s="21">
        <v>24</v>
      </c>
      <c r="G348" s="21">
        <v>3.4</v>
      </c>
    </row>
    <row r="349" spans="1:7" ht="31.5">
      <c r="A349" s="104" t="s">
        <v>19</v>
      </c>
      <c r="B349" s="104" t="s">
        <v>42</v>
      </c>
      <c r="C349" s="104">
        <v>1220520320</v>
      </c>
      <c r="D349" s="106" t="s">
        <v>94</v>
      </c>
      <c r="E349" s="105" t="s">
        <v>95</v>
      </c>
      <c r="F349" s="21">
        <f>F350</f>
        <v>2112.8</v>
      </c>
      <c r="G349" s="21">
        <f t="shared" si="126"/>
        <v>2112.8</v>
      </c>
    </row>
    <row r="350" spans="1:7" ht="12.75">
      <c r="A350" s="104" t="s">
        <v>19</v>
      </c>
      <c r="B350" s="104" t="s">
        <v>42</v>
      </c>
      <c r="C350" s="104">
        <v>1220520320</v>
      </c>
      <c r="D350" s="104">
        <v>610</v>
      </c>
      <c r="E350" s="105" t="s">
        <v>101</v>
      </c>
      <c r="F350" s="21">
        <f>870.8+390-268.9+1121-0.1</f>
        <v>2112.8</v>
      </c>
      <c r="G350" s="21">
        <v>2112.8</v>
      </c>
    </row>
    <row r="351" spans="1:7" ht="63">
      <c r="A351" s="148" t="s">
        <v>19</v>
      </c>
      <c r="B351" s="148" t="s">
        <v>42</v>
      </c>
      <c r="C351" s="148">
        <v>1220600000</v>
      </c>
      <c r="D351" s="148"/>
      <c r="E351" s="151" t="s">
        <v>399</v>
      </c>
      <c r="F351" s="21">
        <f>F352</f>
        <v>300</v>
      </c>
      <c r="G351" s="21">
        <f aca="true" t="shared" si="129" ref="G351:G353">G352</f>
        <v>300</v>
      </c>
    </row>
    <row r="352" spans="1:7" ht="31.5">
      <c r="A352" s="148" t="s">
        <v>19</v>
      </c>
      <c r="B352" s="148" t="s">
        <v>42</v>
      </c>
      <c r="C352" s="148">
        <v>1220620020</v>
      </c>
      <c r="D352" s="74"/>
      <c r="E352" s="129" t="s">
        <v>366</v>
      </c>
      <c r="F352" s="130">
        <f>F353</f>
        <v>300</v>
      </c>
      <c r="G352" s="21">
        <f t="shared" si="129"/>
        <v>300</v>
      </c>
    </row>
    <row r="353" spans="1:7" ht="31.5">
      <c r="A353" s="148" t="s">
        <v>19</v>
      </c>
      <c r="B353" s="148" t="s">
        <v>42</v>
      </c>
      <c r="C353" s="148">
        <v>1220620020</v>
      </c>
      <c r="D353" s="150" t="s">
        <v>94</v>
      </c>
      <c r="E353" s="152" t="s">
        <v>95</v>
      </c>
      <c r="F353" s="21">
        <f>F354</f>
        <v>300</v>
      </c>
      <c r="G353" s="21">
        <f t="shared" si="129"/>
        <v>300</v>
      </c>
    </row>
    <row r="354" spans="1:7" ht="12.75">
      <c r="A354" s="148" t="s">
        <v>19</v>
      </c>
      <c r="B354" s="148" t="s">
        <v>42</v>
      </c>
      <c r="C354" s="148">
        <v>1220620020</v>
      </c>
      <c r="D354" s="148">
        <v>610</v>
      </c>
      <c r="E354" s="54" t="s">
        <v>101</v>
      </c>
      <c r="F354" s="21">
        <v>300</v>
      </c>
      <c r="G354" s="21">
        <v>300</v>
      </c>
    </row>
    <row r="355" spans="1:7" ht="31.5">
      <c r="A355" s="104" t="s">
        <v>19</v>
      </c>
      <c r="B355" s="104" t="s">
        <v>42</v>
      </c>
      <c r="C355" s="106">
        <v>1500000000</v>
      </c>
      <c r="D355" s="104"/>
      <c r="E355" s="105" t="s">
        <v>188</v>
      </c>
      <c r="F355" s="21">
        <f>F356</f>
        <v>1221.2</v>
      </c>
      <c r="G355" s="21">
        <f aca="true" t="shared" si="130" ref="G355:G363">G356</f>
        <v>1221.2</v>
      </c>
    </row>
    <row r="356" spans="1:7" ht="31.5">
      <c r="A356" s="104" t="s">
        <v>19</v>
      </c>
      <c r="B356" s="104" t="s">
        <v>42</v>
      </c>
      <c r="C356" s="106">
        <v>1520000000</v>
      </c>
      <c r="D356" s="104"/>
      <c r="E356" s="105" t="s">
        <v>293</v>
      </c>
      <c r="F356" s="21">
        <f>F361+F357</f>
        <v>1221.2</v>
      </c>
      <c r="G356" s="21">
        <f aca="true" t="shared" si="131" ref="G356">G361+G357</f>
        <v>1221.2</v>
      </c>
    </row>
    <row r="357" spans="1:7" ht="78.75">
      <c r="A357" s="104" t="s">
        <v>19</v>
      </c>
      <c r="B357" s="104" t="s">
        <v>42</v>
      </c>
      <c r="C357" s="104">
        <v>1520100000</v>
      </c>
      <c r="D357" s="104"/>
      <c r="E357" s="54" t="s">
        <v>372</v>
      </c>
      <c r="F357" s="21">
        <f>F358</f>
        <v>690.2</v>
      </c>
      <c r="G357" s="21">
        <f aca="true" t="shared" si="132" ref="G357:G359">G358</f>
        <v>690.2</v>
      </c>
    </row>
    <row r="358" spans="1:7" ht="31.5">
      <c r="A358" s="104" t="s">
        <v>19</v>
      </c>
      <c r="B358" s="104" t="s">
        <v>42</v>
      </c>
      <c r="C358" s="10" t="s">
        <v>373</v>
      </c>
      <c r="D358" s="104"/>
      <c r="E358" s="54" t="s">
        <v>374</v>
      </c>
      <c r="F358" s="21">
        <f>F359</f>
        <v>690.2</v>
      </c>
      <c r="G358" s="21">
        <f t="shared" si="132"/>
        <v>690.2</v>
      </c>
    </row>
    <row r="359" spans="1:7" ht="31.5">
      <c r="A359" s="104" t="s">
        <v>19</v>
      </c>
      <c r="B359" s="104" t="s">
        <v>42</v>
      </c>
      <c r="C359" s="10" t="s">
        <v>373</v>
      </c>
      <c r="D359" s="106" t="s">
        <v>94</v>
      </c>
      <c r="E359" s="54" t="s">
        <v>95</v>
      </c>
      <c r="F359" s="21">
        <f>F360</f>
        <v>690.2</v>
      </c>
      <c r="G359" s="21">
        <f t="shared" si="132"/>
        <v>690.2</v>
      </c>
    </row>
    <row r="360" spans="1:7" ht="12.75">
      <c r="A360" s="104" t="s">
        <v>19</v>
      </c>
      <c r="B360" s="104" t="s">
        <v>42</v>
      </c>
      <c r="C360" s="10" t="s">
        <v>373</v>
      </c>
      <c r="D360" s="104">
        <v>610</v>
      </c>
      <c r="E360" s="54" t="s">
        <v>101</v>
      </c>
      <c r="F360" s="21">
        <v>690.2</v>
      </c>
      <c r="G360" s="21">
        <v>690.2</v>
      </c>
    </row>
    <row r="361" spans="1:7" ht="47.25">
      <c r="A361" s="104" t="s">
        <v>19</v>
      </c>
      <c r="B361" s="104" t="s">
        <v>42</v>
      </c>
      <c r="C361" s="106">
        <v>1520300000</v>
      </c>
      <c r="D361" s="104"/>
      <c r="E361" s="105" t="s">
        <v>346</v>
      </c>
      <c r="F361" s="21">
        <f>F362</f>
        <v>531</v>
      </c>
      <c r="G361" s="21">
        <f t="shared" si="130"/>
        <v>531</v>
      </c>
    </row>
    <row r="362" spans="1:7" ht="12.75">
      <c r="A362" s="104" t="s">
        <v>19</v>
      </c>
      <c r="B362" s="104" t="s">
        <v>42</v>
      </c>
      <c r="C362" s="106">
        <v>1520320200</v>
      </c>
      <c r="D362" s="104"/>
      <c r="E362" s="54" t="s">
        <v>347</v>
      </c>
      <c r="F362" s="21">
        <f>F363</f>
        <v>531</v>
      </c>
      <c r="G362" s="21">
        <f t="shared" si="130"/>
        <v>531</v>
      </c>
    </row>
    <row r="363" spans="1:7" ht="31.5">
      <c r="A363" s="104" t="s">
        <v>19</v>
      </c>
      <c r="B363" s="104" t="s">
        <v>42</v>
      </c>
      <c r="C363" s="106">
        <v>1520320200</v>
      </c>
      <c r="D363" s="106" t="s">
        <v>94</v>
      </c>
      <c r="E363" s="54" t="s">
        <v>95</v>
      </c>
      <c r="F363" s="21">
        <f>F364</f>
        <v>531</v>
      </c>
      <c r="G363" s="21">
        <f t="shared" si="130"/>
        <v>531</v>
      </c>
    </row>
    <row r="364" spans="1:7" ht="12.75">
      <c r="A364" s="104" t="s">
        <v>19</v>
      </c>
      <c r="B364" s="104" t="s">
        <v>42</v>
      </c>
      <c r="C364" s="106">
        <v>1520320200</v>
      </c>
      <c r="D364" s="104">
        <v>610</v>
      </c>
      <c r="E364" s="54" t="s">
        <v>101</v>
      </c>
      <c r="F364" s="21">
        <v>531</v>
      </c>
      <c r="G364" s="21">
        <v>531</v>
      </c>
    </row>
    <row r="365" spans="1:7" ht="12.75">
      <c r="A365" s="116" t="s">
        <v>19</v>
      </c>
      <c r="B365" s="116" t="s">
        <v>42</v>
      </c>
      <c r="C365" s="116">
        <v>9900000000</v>
      </c>
      <c r="D365" s="116"/>
      <c r="E365" s="54" t="s">
        <v>102</v>
      </c>
      <c r="F365" s="21">
        <f>F366</f>
        <v>260</v>
      </c>
      <c r="G365" s="21">
        <f aca="true" t="shared" si="133" ref="G365:G368">G366</f>
        <v>260</v>
      </c>
    </row>
    <row r="366" spans="1:7" ht="47.25">
      <c r="A366" s="116" t="s">
        <v>19</v>
      </c>
      <c r="B366" s="116" t="s">
        <v>42</v>
      </c>
      <c r="C366" s="116">
        <v>9920000000</v>
      </c>
      <c r="D366" s="116"/>
      <c r="E366" s="54" t="s">
        <v>377</v>
      </c>
      <c r="F366" s="21">
        <f>F367</f>
        <v>260</v>
      </c>
      <c r="G366" s="21">
        <f t="shared" si="133"/>
        <v>260</v>
      </c>
    </row>
    <row r="367" spans="1:7" ht="47.25">
      <c r="A367" s="116" t="s">
        <v>19</v>
      </c>
      <c r="B367" s="116" t="s">
        <v>42</v>
      </c>
      <c r="C367" s="116">
        <v>9920010920</v>
      </c>
      <c r="D367" s="116"/>
      <c r="E367" s="54" t="s">
        <v>378</v>
      </c>
      <c r="F367" s="21">
        <f>F368</f>
        <v>260</v>
      </c>
      <c r="G367" s="21">
        <f t="shared" si="133"/>
        <v>260</v>
      </c>
    </row>
    <row r="368" spans="1:7" ht="31.5">
      <c r="A368" s="116" t="s">
        <v>19</v>
      </c>
      <c r="B368" s="116" t="s">
        <v>42</v>
      </c>
      <c r="C368" s="116">
        <v>9920010920</v>
      </c>
      <c r="D368" s="116" t="s">
        <v>94</v>
      </c>
      <c r="E368" s="54" t="s">
        <v>95</v>
      </c>
      <c r="F368" s="21">
        <f>F369</f>
        <v>260</v>
      </c>
      <c r="G368" s="21">
        <f t="shared" si="133"/>
        <v>260</v>
      </c>
    </row>
    <row r="369" spans="1:7" ht="12.75">
      <c r="A369" s="116" t="s">
        <v>19</v>
      </c>
      <c r="B369" s="116" t="s">
        <v>42</v>
      </c>
      <c r="C369" s="116">
        <v>9920010920</v>
      </c>
      <c r="D369" s="116">
        <v>610</v>
      </c>
      <c r="E369" s="54" t="s">
        <v>101</v>
      </c>
      <c r="F369" s="21">
        <v>260</v>
      </c>
      <c r="G369" s="21">
        <v>260</v>
      </c>
    </row>
    <row r="370" spans="1:7" ht="12.75">
      <c r="A370" s="104" t="s">
        <v>19</v>
      </c>
      <c r="B370" s="104" t="s">
        <v>39</v>
      </c>
      <c r="C370" s="104" t="s">
        <v>66</v>
      </c>
      <c r="D370" s="104" t="s">
        <v>66</v>
      </c>
      <c r="E370" s="42" t="s">
        <v>31</v>
      </c>
      <c r="F370" s="21">
        <f>F371+F378+F395</f>
        <v>9773.400000000001</v>
      </c>
      <c r="G370" s="21">
        <f>G371+G378+G395</f>
        <v>9658.300000000001</v>
      </c>
    </row>
    <row r="371" spans="1:7" ht="12.75">
      <c r="A371" s="104" t="s">
        <v>19</v>
      </c>
      <c r="B371" s="104" t="s">
        <v>53</v>
      </c>
      <c r="C371" s="104" t="s">
        <v>66</v>
      </c>
      <c r="D371" s="104" t="s">
        <v>66</v>
      </c>
      <c r="E371" s="105" t="s">
        <v>32</v>
      </c>
      <c r="F371" s="21">
        <f aca="true" t="shared" si="134" ref="F371:F376">F372</f>
        <v>798.0999999999999</v>
      </c>
      <c r="G371" s="21">
        <f aca="true" t="shared" si="135" ref="G371:G374">G372</f>
        <v>798.1</v>
      </c>
    </row>
    <row r="372" spans="1:7" ht="47.25">
      <c r="A372" s="104" t="s">
        <v>19</v>
      </c>
      <c r="B372" s="104" t="s">
        <v>53</v>
      </c>
      <c r="C372" s="106">
        <v>1200000000</v>
      </c>
      <c r="D372" s="104"/>
      <c r="E372" s="105" t="s">
        <v>187</v>
      </c>
      <c r="F372" s="21">
        <f t="shared" si="134"/>
        <v>798.0999999999999</v>
      </c>
      <c r="G372" s="21">
        <f t="shared" si="135"/>
        <v>798.1</v>
      </c>
    </row>
    <row r="373" spans="1:7" ht="47.25">
      <c r="A373" s="104" t="s">
        <v>19</v>
      </c>
      <c r="B373" s="104" t="s">
        <v>53</v>
      </c>
      <c r="C373" s="106">
        <v>1240000000</v>
      </c>
      <c r="D373" s="104"/>
      <c r="E373" s="105" t="s">
        <v>133</v>
      </c>
      <c r="F373" s="21">
        <f t="shared" si="134"/>
        <v>798.0999999999999</v>
      </c>
      <c r="G373" s="21">
        <f t="shared" si="135"/>
        <v>798.1</v>
      </c>
    </row>
    <row r="374" spans="1:7" ht="12.75">
      <c r="A374" s="104" t="s">
        <v>19</v>
      </c>
      <c r="B374" s="104" t="s">
        <v>53</v>
      </c>
      <c r="C374" s="104">
        <v>1240400000</v>
      </c>
      <c r="D374" s="104"/>
      <c r="E374" s="105" t="s">
        <v>205</v>
      </c>
      <c r="F374" s="21">
        <f t="shared" si="134"/>
        <v>798.0999999999999</v>
      </c>
      <c r="G374" s="21">
        <f t="shared" si="135"/>
        <v>798.1</v>
      </c>
    </row>
    <row r="375" spans="1:7" ht="63">
      <c r="A375" s="104" t="s">
        <v>19</v>
      </c>
      <c r="B375" s="104" t="s">
        <v>53</v>
      </c>
      <c r="C375" s="104">
        <v>1240420390</v>
      </c>
      <c r="D375" s="104"/>
      <c r="E375" s="105" t="s">
        <v>67</v>
      </c>
      <c r="F375" s="21">
        <f t="shared" si="134"/>
        <v>798.0999999999999</v>
      </c>
      <c r="G375" s="21">
        <f>G376</f>
        <v>798.1</v>
      </c>
    </row>
    <row r="376" spans="1:7" ht="12.75">
      <c r="A376" s="104" t="s">
        <v>19</v>
      </c>
      <c r="B376" s="104" t="s">
        <v>53</v>
      </c>
      <c r="C376" s="104">
        <v>1240420390</v>
      </c>
      <c r="D376" s="106" t="s">
        <v>73</v>
      </c>
      <c r="E376" s="105" t="s">
        <v>74</v>
      </c>
      <c r="F376" s="21">
        <f t="shared" si="134"/>
        <v>798.0999999999999</v>
      </c>
      <c r="G376" s="21">
        <f aca="true" t="shared" si="136" ref="G376">G377</f>
        <v>798.1</v>
      </c>
    </row>
    <row r="377" spans="1:7" ht="31.5">
      <c r="A377" s="104" t="s">
        <v>19</v>
      </c>
      <c r="B377" s="104" t="s">
        <v>53</v>
      </c>
      <c r="C377" s="104">
        <v>1240420390</v>
      </c>
      <c r="D377" s="106" t="s">
        <v>147</v>
      </c>
      <c r="E377" s="105" t="s">
        <v>148</v>
      </c>
      <c r="F377" s="21">
        <f>1119.3-321.2</f>
        <v>798.0999999999999</v>
      </c>
      <c r="G377" s="21">
        <v>798.1</v>
      </c>
    </row>
    <row r="378" spans="1:7" ht="12.75">
      <c r="A378" s="104" t="s">
        <v>19</v>
      </c>
      <c r="B378" s="104" t="s">
        <v>40</v>
      </c>
      <c r="C378" s="104" t="s">
        <v>66</v>
      </c>
      <c r="D378" s="104" t="s">
        <v>66</v>
      </c>
      <c r="E378" s="105" t="s">
        <v>34</v>
      </c>
      <c r="F378" s="21">
        <f>F379</f>
        <v>607.1</v>
      </c>
      <c r="G378" s="21">
        <f>G379</f>
        <v>492</v>
      </c>
    </row>
    <row r="379" spans="1:7" ht="47.25">
      <c r="A379" s="104" t="s">
        <v>19</v>
      </c>
      <c r="B379" s="104" t="s">
        <v>40</v>
      </c>
      <c r="C379" s="106">
        <v>1200000000</v>
      </c>
      <c r="D379" s="104"/>
      <c r="E379" s="105" t="s">
        <v>187</v>
      </c>
      <c r="F379" s="21">
        <f>F380</f>
        <v>607.1</v>
      </c>
      <c r="G379" s="21">
        <f aca="true" t="shared" si="137" ref="G379:G381">G380</f>
        <v>492</v>
      </c>
    </row>
    <row r="380" spans="1:7" ht="47.25">
      <c r="A380" s="104" t="s">
        <v>19</v>
      </c>
      <c r="B380" s="104" t="s">
        <v>40</v>
      </c>
      <c r="C380" s="106">
        <v>1240000000</v>
      </c>
      <c r="D380" s="104"/>
      <c r="E380" s="105" t="s">
        <v>133</v>
      </c>
      <c r="F380" s="21">
        <f>F381+F385+F391</f>
        <v>607.1</v>
      </c>
      <c r="G380" s="21">
        <f>G381+G385+G391</f>
        <v>492</v>
      </c>
    </row>
    <row r="381" spans="1:7" ht="31.5">
      <c r="A381" s="104" t="s">
        <v>19</v>
      </c>
      <c r="B381" s="104" t="s">
        <v>40</v>
      </c>
      <c r="C381" s="106">
        <v>1240100000</v>
      </c>
      <c r="D381" s="104"/>
      <c r="E381" s="105" t="s">
        <v>206</v>
      </c>
      <c r="F381" s="21">
        <f>F382</f>
        <v>400</v>
      </c>
      <c r="G381" s="21">
        <f t="shared" si="137"/>
        <v>350</v>
      </c>
    </row>
    <row r="382" spans="1:7" ht="47.25">
      <c r="A382" s="104" t="s">
        <v>19</v>
      </c>
      <c r="B382" s="104" t="s">
        <v>40</v>
      </c>
      <c r="C382" s="106">
        <v>1240120330</v>
      </c>
      <c r="D382" s="104"/>
      <c r="E382" s="105" t="s">
        <v>150</v>
      </c>
      <c r="F382" s="21">
        <f>F383</f>
        <v>400</v>
      </c>
      <c r="G382" s="21">
        <f aca="true" t="shared" si="138" ref="G382:G383">G383</f>
        <v>350</v>
      </c>
    </row>
    <row r="383" spans="1:7" ht="31.5">
      <c r="A383" s="104" t="s">
        <v>19</v>
      </c>
      <c r="B383" s="104" t="s">
        <v>40</v>
      </c>
      <c r="C383" s="106">
        <v>1240120330</v>
      </c>
      <c r="D383" s="106" t="s">
        <v>94</v>
      </c>
      <c r="E383" s="105" t="s">
        <v>95</v>
      </c>
      <c r="F383" s="21">
        <f>F384</f>
        <v>400</v>
      </c>
      <c r="G383" s="21">
        <f t="shared" si="138"/>
        <v>350</v>
      </c>
    </row>
    <row r="384" spans="1:7" ht="47.25">
      <c r="A384" s="104" t="s">
        <v>19</v>
      </c>
      <c r="B384" s="104" t="s">
        <v>40</v>
      </c>
      <c r="C384" s="106">
        <v>1240120330</v>
      </c>
      <c r="D384" s="104">
        <v>630</v>
      </c>
      <c r="E384" s="105" t="s">
        <v>151</v>
      </c>
      <c r="F384" s="21">
        <v>400</v>
      </c>
      <c r="G384" s="21">
        <v>350</v>
      </c>
    </row>
    <row r="385" spans="1:7" ht="31.5">
      <c r="A385" s="104" t="s">
        <v>19</v>
      </c>
      <c r="B385" s="104" t="s">
        <v>40</v>
      </c>
      <c r="C385" s="106">
        <v>1240200000</v>
      </c>
      <c r="D385" s="104"/>
      <c r="E385" s="105" t="s">
        <v>152</v>
      </c>
      <c r="F385" s="21">
        <f>F386</f>
        <v>107.1</v>
      </c>
      <c r="G385" s="21">
        <f aca="true" t="shared" si="139" ref="G385">G386</f>
        <v>72</v>
      </c>
    </row>
    <row r="386" spans="1:7" ht="31.5">
      <c r="A386" s="104" t="s">
        <v>19</v>
      </c>
      <c r="B386" s="104" t="s">
        <v>40</v>
      </c>
      <c r="C386" s="106">
        <v>1240220350</v>
      </c>
      <c r="D386" s="104"/>
      <c r="E386" s="105" t="s">
        <v>207</v>
      </c>
      <c r="F386" s="21">
        <f>F387+F389</f>
        <v>107.1</v>
      </c>
      <c r="G386" s="21">
        <f aca="true" t="shared" si="140" ref="G386">G387+G389</f>
        <v>72</v>
      </c>
    </row>
    <row r="387" spans="1:7" ht="31.5">
      <c r="A387" s="104" t="s">
        <v>19</v>
      </c>
      <c r="B387" s="104" t="s">
        <v>40</v>
      </c>
      <c r="C387" s="106">
        <v>1240220350</v>
      </c>
      <c r="D387" s="106" t="s">
        <v>69</v>
      </c>
      <c r="E387" s="105" t="s">
        <v>92</v>
      </c>
      <c r="F387" s="21">
        <f>F388</f>
        <v>3.1</v>
      </c>
      <c r="G387" s="21">
        <f aca="true" t="shared" si="141" ref="G387">G388</f>
        <v>0</v>
      </c>
    </row>
    <row r="388" spans="1:7" ht="31.5">
      <c r="A388" s="104" t="s">
        <v>19</v>
      </c>
      <c r="B388" s="104" t="s">
        <v>40</v>
      </c>
      <c r="C388" s="106">
        <v>1240220350</v>
      </c>
      <c r="D388" s="104">
        <v>240</v>
      </c>
      <c r="E388" s="105" t="s">
        <v>245</v>
      </c>
      <c r="F388" s="21">
        <v>3.1</v>
      </c>
      <c r="G388" s="21">
        <v>0</v>
      </c>
    </row>
    <row r="389" spans="1:7" ht="12.75">
      <c r="A389" s="104" t="s">
        <v>19</v>
      </c>
      <c r="B389" s="104" t="s">
        <v>40</v>
      </c>
      <c r="C389" s="106">
        <v>1240220350</v>
      </c>
      <c r="D389" s="104" t="s">
        <v>73</v>
      </c>
      <c r="E389" s="105" t="s">
        <v>74</v>
      </c>
      <c r="F389" s="21">
        <f>F390</f>
        <v>104</v>
      </c>
      <c r="G389" s="21">
        <f aca="true" t="shared" si="142" ref="G389">G390</f>
        <v>72</v>
      </c>
    </row>
    <row r="390" spans="1:7" ht="31.5">
      <c r="A390" s="104" t="s">
        <v>19</v>
      </c>
      <c r="B390" s="104" t="s">
        <v>40</v>
      </c>
      <c r="C390" s="106">
        <v>1240220350</v>
      </c>
      <c r="D390" s="104" t="s">
        <v>147</v>
      </c>
      <c r="E390" s="105" t="s">
        <v>148</v>
      </c>
      <c r="F390" s="21">
        <v>104</v>
      </c>
      <c r="G390" s="21">
        <v>72</v>
      </c>
    </row>
    <row r="391" spans="1:7" ht="12.75">
      <c r="A391" s="104" t="s">
        <v>19</v>
      </c>
      <c r="B391" s="104" t="s">
        <v>40</v>
      </c>
      <c r="C391" s="104">
        <v>1240400000</v>
      </c>
      <c r="D391" s="104"/>
      <c r="E391" s="105" t="s">
        <v>205</v>
      </c>
      <c r="F391" s="21">
        <f>F392</f>
        <v>100</v>
      </c>
      <c r="G391" s="21">
        <f aca="true" t="shared" si="143" ref="G391">G392</f>
        <v>70</v>
      </c>
    </row>
    <row r="392" spans="1:7" ht="31.5">
      <c r="A392" s="104" t="s">
        <v>19</v>
      </c>
      <c r="B392" s="104" t="s">
        <v>40</v>
      </c>
      <c r="C392" s="104">
        <v>1240420380</v>
      </c>
      <c r="D392" s="104"/>
      <c r="E392" s="105" t="s">
        <v>149</v>
      </c>
      <c r="F392" s="21">
        <f>F393</f>
        <v>100</v>
      </c>
      <c r="G392" s="21">
        <f aca="true" t="shared" si="144" ref="G392:G393">G393</f>
        <v>70</v>
      </c>
    </row>
    <row r="393" spans="1:7" ht="12.75">
      <c r="A393" s="104" t="s">
        <v>19</v>
      </c>
      <c r="B393" s="104" t="s">
        <v>40</v>
      </c>
      <c r="C393" s="104">
        <v>1240420380</v>
      </c>
      <c r="D393" s="106" t="s">
        <v>73</v>
      </c>
      <c r="E393" s="105" t="s">
        <v>74</v>
      </c>
      <c r="F393" s="21">
        <f>F394</f>
        <v>100</v>
      </c>
      <c r="G393" s="21">
        <f t="shared" si="144"/>
        <v>70</v>
      </c>
    </row>
    <row r="394" spans="1:7" ht="31.5">
      <c r="A394" s="104" t="s">
        <v>19</v>
      </c>
      <c r="B394" s="104" t="s">
        <v>40</v>
      </c>
      <c r="C394" s="104">
        <v>1240420380</v>
      </c>
      <c r="D394" s="106" t="s">
        <v>98</v>
      </c>
      <c r="E394" s="105" t="s">
        <v>99</v>
      </c>
      <c r="F394" s="21">
        <v>100</v>
      </c>
      <c r="G394" s="21">
        <v>70</v>
      </c>
    </row>
    <row r="395" spans="1:7" ht="12.75">
      <c r="A395" s="104" t="s">
        <v>19</v>
      </c>
      <c r="B395" s="104">
        <v>1004</v>
      </c>
      <c r="C395" s="67"/>
      <c r="D395" s="67"/>
      <c r="E395" s="48" t="s">
        <v>85</v>
      </c>
      <c r="F395" s="21">
        <f>F396</f>
        <v>8368.2</v>
      </c>
      <c r="G395" s="21">
        <f aca="true" t="shared" si="145" ref="G395:G398">G396</f>
        <v>8368.2</v>
      </c>
    </row>
    <row r="396" spans="1:7" ht="47.25">
      <c r="A396" s="104" t="s">
        <v>19</v>
      </c>
      <c r="B396" s="104">
        <v>1004</v>
      </c>
      <c r="C396" s="106">
        <v>1200000000</v>
      </c>
      <c r="D396" s="104"/>
      <c r="E396" s="105" t="s">
        <v>187</v>
      </c>
      <c r="F396" s="21">
        <f>F397</f>
        <v>8368.2</v>
      </c>
      <c r="G396" s="21">
        <f t="shared" si="145"/>
        <v>8368.2</v>
      </c>
    </row>
    <row r="397" spans="1:7" ht="47.25">
      <c r="A397" s="104" t="s">
        <v>19</v>
      </c>
      <c r="B397" s="104">
        <v>1004</v>
      </c>
      <c r="C397" s="106">
        <v>1240000000</v>
      </c>
      <c r="D397" s="104"/>
      <c r="E397" s="105" t="s">
        <v>133</v>
      </c>
      <c r="F397" s="21">
        <f>F398</f>
        <v>8368.2</v>
      </c>
      <c r="G397" s="21">
        <f t="shared" si="145"/>
        <v>8368.2</v>
      </c>
    </row>
    <row r="398" spans="1:7" ht="12.75">
      <c r="A398" s="104" t="s">
        <v>19</v>
      </c>
      <c r="B398" s="104">
        <v>1004</v>
      </c>
      <c r="C398" s="104">
        <v>1240400000</v>
      </c>
      <c r="D398" s="104"/>
      <c r="E398" s="105" t="s">
        <v>205</v>
      </c>
      <c r="F398" s="21">
        <f>F399</f>
        <v>8368.2</v>
      </c>
      <c r="G398" s="21">
        <f t="shared" si="145"/>
        <v>8368.2</v>
      </c>
    </row>
    <row r="399" spans="1:7" ht="31.5">
      <c r="A399" s="104" t="s">
        <v>19</v>
      </c>
      <c r="B399" s="104">
        <v>1004</v>
      </c>
      <c r="C399" s="104" t="s">
        <v>244</v>
      </c>
      <c r="D399" s="104"/>
      <c r="E399" s="105" t="s">
        <v>243</v>
      </c>
      <c r="F399" s="21">
        <f aca="true" t="shared" si="146" ref="F399:G400">F400</f>
        <v>8368.2</v>
      </c>
      <c r="G399" s="21">
        <f t="shared" si="146"/>
        <v>8368.2</v>
      </c>
    </row>
    <row r="400" spans="1:7" ht="12.75">
      <c r="A400" s="104" t="s">
        <v>19</v>
      </c>
      <c r="B400" s="104">
        <v>1004</v>
      </c>
      <c r="C400" s="104" t="s">
        <v>244</v>
      </c>
      <c r="D400" s="1" t="s">
        <v>73</v>
      </c>
      <c r="E400" s="46" t="s">
        <v>74</v>
      </c>
      <c r="F400" s="21">
        <f t="shared" si="146"/>
        <v>8368.2</v>
      </c>
      <c r="G400" s="21">
        <f t="shared" si="146"/>
        <v>8368.2</v>
      </c>
    </row>
    <row r="401" spans="1:7" ht="31.5">
      <c r="A401" s="104" t="s">
        <v>19</v>
      </c>
      <c r="B401" s="104">
        <v>1004</v>
      </c>
      <c r="C401" s="104" t="s">
        <v>244</v>
      </c>
      <c r="D401" s="1" t="s">
        <v>98</v>
      </c>
      <c r="E401" s="46" t="s">
        <v>99</v>
      </c>
      <c r="F401" s="21">
        <f>1717.7-44.1+6694.6</f>
        <v>8368.2</v>
      </c>
      <c r="G401" s="21">
        <v>8368.2</v>
      </c>
    </row>
    <row r="402" spans="1:7" ht="12.75">
      <c r="A402" s="104" t="s">
        <v>19</v>
      </c>
      <c r="B402" s="104" t="s">
        <v>61</v>
      </c>
      <c r="C402" s="104" t="s">
        <v>66</v>
      </c>
      <c r="D402" s="104" t="s">
        <v>66</v>
      </c>
      <c r="E402" s="105" t="s">
        <v>30</v>
      </c>
      <c r="F402" s="21">
        <f>F403+F429</f>
        <v>30197.800000000003</v>
      </c>
      <c r="G402" s="21">
        <f>G403+G429</f>
        <v>30195.300000000003</v>
      </c>
    </row>
    <row r="403" spans="1:7" ht="12.75">
      <c r="A403" s="104" t="s">
        <v>19</v>
      </c>
      <c r="B403" s="104" t="s">
        <v>86</v>
      </c>
      <c r="C403" s="104" t="s">
        <v>66</v>
      </c>
      <c r="D403" s="104" t="s">
        <v>66</v>
      </c>
      <c r="E403" s="105" t="s">
        <v>62</v>
      </c>
      <c r="F403" s="21">
        <f>F404</f>
        <v>13120.900000000001</v>
      </c>
      <c r="G403" s="21">
        <f aca="true" t="shared" si="147" ref="G403:G404">G404</f>
        <v>13118.400000000001</v>
      </c>
    </row>
    <row r="404" spans="1:7" ht="47.25">
      <c r="A404" s="104" t="s">
        <v>19</v>
      </c>
      <c r="B404" s="104" t="s">
        <v>86</v>
      </c>
      <c r="C404" s="106">
        <v>1200000000</v>
      </c>
      <c r="D404" s="104"/>
      <c r="E404" s="105" t="s">
        <v>187</v>
      </c>
      <c r="F404" s="21">
        <f>F405</f>
        <v>13120.900000000001</v>
      </c>
      <c r="G404" s="21">
        <f t="shared" si="147"/>
        <v>13118.400000000001</v>
      </c>
    </row>
    <row r="405" spans="1:7" ht="31.5">
      <c r="A405" s="104" t="s">
        <v>19</v>
      </c>
      <c r="B405" s="104" t="s">
        <v>86</v>
      </c>
      <c r="C405" s="104">
        <v>1230000000</v>
      </c>
      <c r="D405" s="104"/>
      <c r="E405" s="105" t="s">
        <v>209</v>
      </c>
      <c r="F405" s="21">
        <f>F406+F410+F414</f>
        <v>13120.900000000001</v>
      </c>
      <c r="G405" s="21">
        <f aca="true" t="shared" si="148" ref="G405">G406+G410+G414</f>
        <v>13118.400000000001</v>
      </c>
    </row>
    <row r="406" spans="1:7" ht="47.25">
      <c r="A406" s="104" t="s">
        <v>19</v>
      </c>
      <c r="B406" s="104" t="s">
        <v>86</v>
      </c>
      <c r="C406" s="104">
        <v>1230100000</v>
      </c>
      <c r="D406" s="104"/>
      <c r="E406" s="105" t="s">
        <v>210</v>
      </c>
      <c r="F406" s="21">
        <f>F407</f>
        <v>11839.6</v>
      </c>
      <c r="G406" s="21">
        <f aca="true" t="shared" si="149" ref="G406">G407</f>
        <v>11839.6</v>
      </c>
    </row>
    <row r="407" spans="1:7" ht="31.5">
      <c r="A407" s="104" t="s">
        <v>19</v>
      </c>
      <c r="B407" s="2" t="s">
        <v>86</v>
      </c>
      <c r="C407" s="104">
        <v>1230120010</v>
      </c>
      <c r="D407" s="104"/>
      <c r="E407" s="105" t="s">
        <v>121</v>
      </c>
      <c r="F407" s="21">
        <f>F408</f>
        <v>11839.6</v>
      </c>
      <c r="G407" s="21">
        <f aca="true" t="shared" si="150" ref="G407:G408">G408</f>
        <v>11839.6</v>
      </c>
    </row>
    <row r="408" spans="1:7" ht="31.5">
      <c r="A408" s="104" t="s">
        <v>19</v>
      </c>
      <c r="B408" s="2" t="s">
        <v>86</v>
      </c>
      <c r="C408" s="104">
        <v>1230120010</v>
      </c>
      <c r="D408" s="106" t="s">
        <v>94</v>
      </c>
      <c r="E408" s="105" t="s">
        <v>95</v>
      </c>
      <c r="F408" s="21">
        <f>F409</f>
        <v>11839.6</v>
      </c>
      <c r="G408" s="21">
        <f t="shared" si="150"/>
        <v>11839.6</v>
      </c>
    </row>
    <row r="409" spans="1:7" ht="12.75">
      <c r="A409" s="104" t="s">
        <v>19</v>
      </c>
      <c r="B409" s="104" t="s">
        <v>86</v>
      </c>
      <c r="C409" s="104">
        <v>1230120010</v>
      </c>
      <c r="D409" s="104">
        <v>610</v>
      </c>
      <c r="E409" s="105" t="s">
        <v>101</v>
      </c>
      <c r="F409" s="21">
        <v>11839.6</v>
      </c>
      <c r="G409" s="21">
        <v>11839.6</v>
      </c>
    </row>
    <row r="410" spans="1:7" ht="63">
      <c r="A410" s="104" t="s">
        <v>19</v>
      </c>
      <c r="B410" s="104" t="s">
        <v>86</v>
      </c>
      <c r="C410" s="104">
        <v>1230200000</v>
      </c>
      <c r="D410" s="104"/>
      <c r="E410" s="105" t="s">
        <v>211</v>
      </c>
      <c r="F410" s="21">
        <f>F411</f>
        <v>260.7</v>
      </c>
      <c r="G410" s="21">
        <f aca="true" t="shared" si="151" ref="G410:G412">G411</f>
        <v>260.7</v>
      </c>
    </row>
    <row r="411" spans="1:7" ht="12.75">
      <c r="A411" s="104" t="s">
        <v>19</v>
      </c>
      <c r="B411" s="104" t="s">
        <v>86</v>
      </c>
      <c r="C411" s="104">
        <v>1230220040</v>
      </c>
      <c r="D411" s="104"/>
      <c r="E411" s="105" t="s">
        <v>212</v>
      </c>
      <c r="F411" s="21">
        <f>F412</f>
        <v>260.7</v>
      </c>
      <c r="G411" s="21">
        <f t="shared" si="151"/>
        <v>260.7</v>
      </c>
    </row>
    <row r="412" spans="1:7" ht="31.5">
      <c r="A412" s="104" t="s">
        <v>19</v>
      </c>
      <c r="B412" s="104" t="s">
        <v>86</v>
      </c>
      <c r="C412" s="104">
        <v>1230220040</v>
      </c>
      <c r="D412" s="106" t="s">
        <v>94</v>
      </c>
      <c r="E412" s="105" t="s">
        <v>95</v>
      </c>
      <c r="F412" s="21">
        <f>F413</f>
        <v>260.7</v>
      </c>
      <c r="G412" s="21">
        <f t="shared" si="151"/>
        <v>260.7</v>
      </c>
    </row>
    <row r="413" spans="1:7" ht="12.75">
      <c r="A413" s="104" t="s">
        <v>19</v>
      </c>
      <c r="B413" s="104" t="s">
        <v>86</v>
      </c>
      <c r="C413" s="104">
        <v>1230220040</v>
      </c>
      <c r="D413" s="104">
        <v>610</v>
      </c>
      <c r="E413" s="105" t="s">
        <v>101</v>
      </c>
      <c r="F413" s="21">
        <v>260.7</v>
      </c>
      <c r="G413" s="21">
        <v>260.7</v>
      </c>
    </row>
    <row r="414" spans="1:7" ht="31.5">
      <c r="A414" s="104" t="s">
        <v>19</v>
      </c>
      <c r="B414" s="104" t="s">
        <v>86</v>
      </c>
      <c r="C414" s="104">
        <v>1230600000</v>
      </c>
      <c r="D414" s="104"/>
      <c r="E414" s="105" t="s">
        <v>213</v>
      </c>
      <c r="F414" s="21">
        <f>F415+F422</f>
        <v>1020.6</v>
      </c>
      <c r="G414" s="21">
        <f>G415+G422</f>
        <v>1018.1</v>
      </c>
    </row>
    <row r="415" spans="1:7" ht="31.5">
      <c r="A415" s="104" t="s">
        <v>19</v>
      </c>
      <c r="B415" s="104" t="s">
        <v>86</v>
      </c>
      <c r="C415" s="104">
        <v>1230620300</v>
      </c>
      <c r="D415" s="104"/>
      <c r="E415" s="105" t="s">
        <v>214</v>
      </c>
      <c r="F415" s="21">
        <f>F417+F419+F421</f>
        <v>470.1</v>
      </c>
      <c r="G415" s="21">
        <f aca="true" t="shared" si="152" ref="G415">G417+G419+G421</f>
        <v>470.1</v>
      </c>
    </row>
    <row r="416" spans="1:7" ht="78.75">
      <c r="A416" s="104" t="s">
        <v>19</v>
      </c>
      <c r="B416" s="104" t="s">
        <v>86</v>
      </c>
      <c r="C416" s="104">
        <v>1230620300</v>
      </c>
      <c r="D416" s="106" t="s">
        <v>68</v>
      </c>
      <c r="E416" s="105" t="s">
        <v>1</v>
      </c>
      <c r="F416" s="21">
        <f>F417</f>
        <v>192.6</v>
      </c>
      <c r="G416" s="21">
        <f aca="true" t="shared" si="153" ref="G416">G417</f>
        <v>192.6</v>
      </c>
    </row>
    <row r="417" spans="1:7" ht="31.5">
      <c r="A417" s="104" t="s">
        <v>19</v>
      </c>
      <c r="B417" s="104" t="s">
        <v>86</v>
      </c>
      <c r="C417" s="104">
        <v>1230620300</v>
      </c>
      <c r="D417" s="104">
        <v>120</v>
      </c>
      <c r="E417" s="105" t="s">
        <v>246</v>
      </c>
      <c r="F417" s="21">
        <f>149.7+60.1-17.2</f>
        <v>192.6</v>
      </c>
      <c r="G417" s="21">
        <v>192.6</v>
      </c>
    </row>
    <row r="418" spans="1:7" ht="31.5">
      <c r="A418" s="104" t="s">
        <v>19</v>
      </c>
      <c r="B418" s="104" t="s">
        <v>86</v>
      </c>
      <c r="C418" s="104">
        <v>1230620300</v>
      </c>
      <c r="D418" s="106" t="s">
        <v>69</v>
      </c>
      <c r="E418" s="105" t="s">
        <v>92</v>
      </c>
      <c r="F418" s="21">
        <f>F419</f>
        <v>154.9</v>
      </c>
      <c r="G418" s="21">
        <f aca="true" t="shared" si="154" ref="G418">G419</f>
        <v>154.9</v>
      </c>
    </row>
    <row r="419" spans="1:7" ht="31.5">
      <c r="A419" s="104" t="s">
        <v>19</v>
      </c>
      <c r="B419" s="104" t="s">
        <v>86</v>
      </c>
      <c r="C419" s="104">
        <v>1230620300</v>
      </c>
      <c r="D419" s="104">
        <v>240</v>
      </c>
      <c r="E419" s="105" t="s">
        <v>245</v>
      </c>
      <c r="F419" s="21">
        <f>102+52.9</f>
        <v>154.9</v>
      </c>
      <c r="G419" s="21">
        <v>154.9</v>
      </c>
    </row>
    <row r="420" spans="1:7" ht="12.75">
      <c r="A420" s="104" t="s">
        <v>19</v>
      </c>
      <c r="B420" s="104" t="s">
        <v>86</v>
      </c>
      <c r="C420" s="104">
        <v>1230620300</v>
      </c>
      <c r="D420" s="104" t="s">
        <v>70</v>
      </c>
      <c r="E420" s="105" t="s">
        <v>71</v>
      </c>
      <c r="F420" s="21">
        <f>F421</f>
        <v>122.60000000000001</v>
      </c>
      <c r="G420" s="21">
        <f aca="true" t="shared" si="155" ref="G420">G421</f>
        <v>122.6</v>
      </c>
    </row>
    <row r="421" spans="1:7" ht="12.75">
      <c r="A421" s="104" t="s">
        <v>19</v>
      </c>
      <c r="B421" s="104" t="s">
        <v>86</v>
      </c>
      <c r="C421" s="104">
        <v>1230620300</v>
      </c>
      <c r="D421" s="104">
        <v>850</v>
      </c>
      <c r="E421" s="105" t="s">
        <v>97</v>
      </c>
      <c r="F421" s="21">
        <f>94.2+11.2+17.2</f>
        <v>122.60000000000001</v>
      </c>
      <c r="G421" s="21">
        <v>122.6</v>
      </c>
    </row>
    <row r="422" spans="1:7" ht="12.75">
      <c r="A422" s="104" t="s">
        <v>19</v>
      </c>
      <c r="B422" s="104" t="s">
        <v>86</v>
      </c>
      <c r="C422" s="104">
        <v>1230620320</v>
      </c>
      <c r="D422" s="104"/>
      <c r="E422" s="105" t="s">
        <v>146</v>
      </c>
      <c r="F422" s="21">
        <f>F423+F425+F427</f>
        <v>550.5</v>
      </c>
      <c r="G422" s="21">
        <f aca="true" t="shared" si="156" ref="G422">G423+G425+G427</f>
        <v>548</v>
      </c>
    </row>
    <row r="423" spans="1:7" ht="78.75">
      <c r="A423" s="104" t="s">
        <v>19</v>
      </c>
      <c r="B423" s="104" t="s">
        <v>86</v>
      </c>
      <c r="C423" s="104">
        <v>1230620320</v>
      </c>
      <c r="D423" s="106" t="s">
        <v>68</v>
      </c>
      <c r="E423" s="105" t="s">
        <v>1</v>
      </c>
      <c r="F423" s="21">
        <f>F424</f>
        <v>224.09999999999997</v>
      </c>
      <c r="G423" s="21">
        <f aca="true" t="shared" si="157" ref="G423">G424</f>
        <v>221.6</v>
      </c>
    </row>
    <row r="424" spans="1:7" ht="31.5">
      <c r="A424" s="104" t="s">
        <v>19</v>
      </c>
      <c r="B424" s="104" t="s">
        <v>86</v>
      </c>
      <c r="C424" s="104">
        <v>1230620320</v>
      </c>
      <c r="D424" s="104">
        <v>120</v>
      </c>
      <c r="E424" s="105" t="s">
        <v>246</v>
      </c>
      <c r="F424" s="21">
        <f>278.4-54.3</f>
        <v>224.09999999999997</v>
      </c>
      <c r="G424" s="21">
        <v>221.6</v>
      </c>
    </row>
    <row r="425" spans="1:7" ht="31.5">
      <c r="A425" s="104" t="s">
        <v>19</v>
      </c>
      <c r="B425" s="104" t="s">
        <v>86</v>
      </c>
      <c r="C425" s="104">
        <v>1230620320</v>
      </c>
      <c r="D425" s="106" t="s">
        <v>69</v>
      </c>
      <c r="E425" s="105" t="s">
        <v>92</v>
      </c>
      <c r="F425" s="21">
        <f>F426</f>
        <v>196.1</v>
      </c>
      <c r="G425" s="21">
        <f aca="true" t="shared" si="158" ref="G425">G426</f>
        <v>196.1</v>
      </c>
    </row>
    <row r="426" spans="1:7" ht="31.5">
      <c r="A426" s="104" t="s">
        <v>19</v>
      </c>
      <c r="B426" s="104" t="s">
        <v>86</v>
      </c>
      <c r="C426" s="104">
        <v>1230620320</v>
      </c>
      <c r="D426" s="104">
        <v>240</v>
      </c>
      <c r="E426" s="105" t="s">
        <v>245</v>
      </c>
      <c r="F426" s="21">
        <f>213.1-17</f>
        <v>196.1</v>
      </c>
      <c r="G426" s="21">
        <v>196.1</v>
      </c>
    </row>
    <row r="427" spans="1:7" ht="31.5">
      <c r="A427" s="104" t="s">
        <v>19</v>
      </c>
      <c r="B427" s="104" t="s">
        <v>86</v>
      </c>
      <c r="C427" s="104">
        <v>1230620320</v>
      </c>
      <c r="D427" s="106" t="s">
        <v>94</v>
      </c>
      <c r="E427" s="105" t="s">
        <v>95</v>
      </c>
      <c r="F427" s="21">
        <f>F428</f>
        <v>130.3</v>
      </c>
      <c r="G427" s="21">
        <f aca="true" t="shared" si="159" ref="G427">G428</f>
        <v>130.3</v>
      </c>
    </row>
    <row r="428" spans="1:7" ht="12.75">
      <c r="A428" s="104" t="s">
        <v>19</v>
      </c>
      <c r="B428" s="104" t="s">
        <v>86</v>
      </c>
      <c r="C428" s="104">
        <v>1230620320</v>
      </c>
      <c r="D428" s="104">
        <v>610</v>
      </c>
      <c r="E428" s="105" t="s">
        <v>101</v>
      </c>
      <c r="F428" s="21">
        <f>66.9+63.4</f>
        <v>130.3</v>
      </c>
      <c r="G428" s="21">
        <v>130.3</v>
      </c>
    </row>
    <row r="429" spans="1:7" ht="12.75">
      <c r="A429" s="104" t="s">
        <v>19</v>
      </c>
      <c r="B429" s="104">
        <v>1103</v>
      </c>
      <c r="C429" s="104" t="s">
        <v>66</v>
      </c>
      <c r="D429" s="104" t="s">
        <v>66</v>
      </c>
      <c r="E429" s="105" t="s">
        <v>303</v>
      </c>
      <c r="F429" s="21">
        <f>F430+F447+F453</f>
        <v>17076.9</v>
      </c>
      <c r="G429" s="21">
        <f>G430+G447+G453</f>
        <v>17076.9</v>
      </c>
    </row>
    <row r="430" spans="1:7" ht="47.25">
      <c r="A430" s="104" t="s">
        <v>19</v>
      </c>
      <c r="B430" s="104">
        <v>1103</v>
      </c>
      <c r="C430" s="106">
        <v>1200000000</v>
      </c>
      <c r="D430" s="104"/>
      <c r="E430" s="105" t="s">
        <v>187</v>
      </c>
      <c r="F430" s="21">
        <f>F431</f>
        <v>16085.1</v>
      </c>
      <c r="G430" s="21">
        <f aca="true" t="shared" si="160" ref="G430">G431</f>
        <v>16085.1</v>
      </c>
    </row>
    <row r="431" spans="1:7" ht="31.5">
      <c r="A431" s="104" t="s">
        <v>19</v>
      </c>
      <c r="B431" s="104">
        <v>1103</v>
      </c>
      <c r="C431" s="104">
        <v>1260000000</v>
      </c>
      <c r="D431" s="104"/>
      <c r="E431" s="105" t="s">
        <v>304</v>
      </c>
      <c r="F431" s="21">
        <f>F432+F436+F440</f>
        <v>16085.1</v>
      </c>
      <c r="G431" s="21">
        <f aca="true" t="shared" si="161" ref="G431">G432+G436+G440</f>
        <v>16085.1</v>
      </c>
    </row>
    <row r="432" spans="1:7" ht="47.25">
      <c r="A432" s="104" t="s">
        <v>19</v>
      </c>
      <c r="B432" s="104">
        <v>1103</v>
      </c>
      <c r="C432" s="104">
        <v>1260100000</v>
      </c>
      <c r="D432" s="104"/>
      <c r="E432" s="105" t="s">
        <v>305</v>
      </c>
      <c r="F432" s="21">
        <f>F433</f>
        <v>15451.7</v>
      </c>
      <c r="G432" s="21">
        <f aca="true" t="shared" si="162" ref="G432:G434">G433</f>
        <v>15451.7</v>
      </c>
    </row>
    <row r="433" spans="1:7" ht="31.5">
      <c r="A433" s="104" t="s">
        <v>19</v>
      </c>
      <c r="B433" s="104">
        <v>1103</v>
      </c>
      <c r="C433" s="104">
        <v>1260120010</v>
      </c>
      <c r="D433" s="104"/>
      <c r="E433" s="105" t="s">
        <v>121</v>
      </c>
      <c r="F433" s="21">
        <f>F434</f>
        <v>15451.7</v>
      </c>
      <c r="G433" s="21">
        <f t="shared" si="162"/>
        <v>15451.7</v>
      </c>
    </row>
    <row r="434" spans="1:7" ht="31.5">
      <c r="A434" s="104" t="s">
        <v>19</v>
      </c>
      <c r="B434" s="104">
        <v>1103</v>
      </c>
      <c r="C434" s="104">
        <v>1260120010</v>
      </c>
      <c r="D434" s="106" t="s">
        <v>94</v>
      </c>
      <c r="E434" s="105" t="s">
        <v>95</v>
      </c>
      <c r="F434" s="21">
        <f>F435</f>
        <v>15451.7</v>
      </c>
      <c r="G434" s="21">
        <f t="shared" si="162"/>
        <v>15451.7</v>
      </c>
    </row>
    <row r="435" spans="1:7" ht="12.75">
      <c r="A435" s="104" t="s">
        <v>19</v>
      </c>
      <c r="B435" s="104">
        <v>1103</v>
      </c>
      <c r="C435" s="104">
        <v>1260120010</v>
      </c>
      <c r="D435" s="104">
        <v>610</v>
      </c>
      <c r="E435" s="105" t="s">
        <v>101</v>
      </c>
      <c r="F435" s="21">
        <f>15489.6-33.4+344.4-348.9</f>
        <v>15451.7</v>
      </c>
      <c r="G435" s="21">
        <v>15451.7</v>
      </c>
    </row>
    <row r="436" spans="1:7" ht="78.75">
      <c r="A436" s="104" t="s">
        <v>19</v>
      </c>
      <c r="B436" s="104">
        <v>1103</v>
      </c>
      <c r="C436" s="104">
        <v>1260500000</v>
      </c>
      <c r="D436" s="104"/>
      <c r="E436" s="105" t="s">
        <v>365</v>
      </c>
      <c r="F436" s="21">
        <f>F437</f>
        <v>300</v>
      </c>
      <c r="G436" s="21">
        <f aca="true" t="shared" si="163" ref="G436:G438">G437</f>
        <v>300</v>
      </c>
    </row>
    <row r="437" spans="1:7" ht="31.5">
      <c r="A437" s="104" t="s">
        <v>19</v>
      </c>
      <c r="B437" s="104">
        <v>1103</v>
      </c>
      <c r="C437" s="104">
        <v>1260520020</v>
      </c>
      <c r="D437" s="104"/>
      <c r="E437" s="105" t="s">
        <v>366</v>
      </c>
      <c r="F437" s="21">
        <f>F438</f>
        <v>300</v>
      </c>
      <c r="G437" s="21">
        <f t="shared" si="163"/>
        <v>300</v>
      </c>
    </row>
    <row r="438" spans="1:7" ht="31.5">
      <c r="A438" s="104" t="s">
        <v>19</v>
      </c>
      <c r="B438" s="104">
        <v>1103</v>
      </c>
      <c r="C438" s="104">
        <v>1260520020</v>
      </c>
      <c r="D438" s="106" t="s">
        <v>94</v>
      </c>
      <c r="E438" s="105" t="s">
        <v>95</v>
      </c>
      <c r="F438" s="21">
        <f>F439</f>
        <v>300</v>
      </c>
      <c r="G438" s="21">
        <f t="shared" si="163"/>
        <v>300</v>
      </c>
    </row>
    <row r="439" spans="1:7" ht="12.75">
      <c r="A439" s="104" t="s">
        <v>19</v>
      </c>
      <c r="B439" s="104">
        <v>1103</v>
      </c>
      <c r="C439" s="104">
        <v>1260520020</v>
      </c>
      <c r="D439" s="104">
        <v>610</v>
      </c>
      <c r="E439" s="105" t="s">
        <v>101</v>
      </c>
      <c r="F439" s="21">
        <v>300</v>
      </c>
      <c r="G439" s="21">
        <v>300</v>
      </c>
    </row>
    <row r="440" spans="1:7" ht="31.5">
      <c r="A440" s="125" t="s">
        <v>19</v>
      </c>
      <c r="B440" s="125">
        <v>1103</v>
      </c>
      <c r="C440" s="125" t="s">
        <v>384</v>
      </c>
      <c r="D440" s="125"/>
      <c r="E440" s="128" t="s">
        <v>385</v>
      </c>
      <c r="F440" s="21">
        <f>F441+F444</f>
        <v>333.4</v>
      </c>
      <c r="G440" s="21">
        <f aca="true" t="shared" si="164" ref="G440">G441+G444</f>
        <v>333.4</v>
      </c>
    </row>
    <row r="441" spans="1:7" ht="94.5">
      <c r="A441" s="125" t="s">
        <v>19</v>
      </c>
      <c r="B441" s="125">
        <v>1103</v>
      </c>
      <c r="C441" s="124" t="s">
        <v>386</v>
      </c>
      <c r="D441" s="125"/>
      <c r="E441" s="129" t="s">
        <v>387</v>
      </c>
      <c r="F441" s="21">
        <f>F442</f>
        <v>300</v>
      </c>
      <c r="G441" s="21">
        <f aca="true" t="shared" si="165" ref="G441:G442">G442</f>
        <v>300</v>
      </c>
    </row>
    <row r="442" spans="1:7" ht="31.5">
      <c r="A442" s="125" t="s">
        <v>19</v>
      </c>
      <c r="B442" s="125">
        <v>1103</v>
      </c>
      <c r="C442" s="124" t="s">
        <v>386</v>
      </c>
      <c r="D442" s="127" t="s">
        <v>94</v>
      </c>
      <c r="E442" s="126" t="s">
        <v>95</v>
      </c>
      <c r="F442" s="21">
        <f>F443</f>
        <v>300</v>
      </c>
      <c r="G442" s="21">
        <f t="shared" si="165"/>
        <v>300</v>
      </c>
    </row>
    <row r="443" spans="1:7" ht="12.75">
      <c r="A443" s="125" t="s">
        <v>19</v>
      </c>
      <c r="B443" s="125">
        <v>1103</v>
      </c>
      <c r="C443" s="124" t="s">
        <v>386</v>
      </c>
      <c r="D443" s="125">
        <v>610</v>
      </c>
      <c r="E443" s="126" t="s">
        <v>101</v>
      </c>
      <c r="F443" s="21">
        <v>300</v>
      </c>
      <c r="G443" s="21">
        <v>300</v>
      </c>
    </row>
    <row r="444" spans="1:7" ht="78.75">
      <c r="A444" s="125" t="s">
        <v>19</v>
      </c>
      <c r="B444" s="125">
        <v>1103</v>
      </c>
      <c r="C444" s="124" t="s">
        <v>388</v>
      </c>
      <c r="D444" s="125"/>
      <c r="E444" s="129" t="s">
        <v>389</v>
      </c>
      <c r="F444" s="21">
        <f>F445</f>
        <v>33.4</v>
      </c>
      <c r="G444" s="21">
        <f aca="true" t="shared" si="166" ref="G444:G445">G445</f>
        <v>33.4</v>
      </c>
    </row>
    <row r="445" spans="1:7" ht="31.5">
      <c r="A445" s="125" t="s">
        <v>19</v>
      </c>
      <c r="B445" s="125">
        <v>1103</v>
      </c>
      <c r="C445" s="124" t="s">
        <v>388</v>
      </c>
      <c r="D445" s="127" t="s">
        <v>94</v>
      </c>
      <c r="E445" s="126" t="s">
        <v>95</v>
      </c>
      <c r="F445" s="21">
        <f>F446</f>
        <v>33.4</v>
      </c>
      <c r="G445" s="21">
        <f t="shared" si="166"/>
        <v>33.4</v>
      </c>
    </row>
    <row r="446" spans="1:7" ht="12.75">
      <c r="A446" s="125" t="s">
        <v>19</v>
      </c>
      <c r="B446" s="125">
        <v>1103</v>
      </c>
      <c r="C446" s="124" t="s">
        <v>388</v>
      </c>
      <c r="D446" s="125">
        <v>610</v>
      </c>
      <c r="E446" s="126" t="s">
        <v>101</v>
      </c>
      <c r="F446" s="21">
        <v>33.4</v>
      </c>
      <c r="G446" s="21">
        <v>33.4</v>
      </c>
    </row>
    <row r="447" spans="1:7" ht="31.5">
      <c r="A447" s="104" t="s">
        <v>19</v>
      </c>
      <c r="B447" s="104">
        <v>1103</v>
      </c>
      <c r="C447" s="106">
        <v>1500000000</v>
      </c>
      <c r="D447" s="104"/>
      <c r="E447" s="105" t="s">
        <v>188</v>
      </c>
      <c r="F447" s="21">
        <f>F448</f>
        <v>691.8</v>
      </c>
      <c r="G447" s="21">
        <f aca="true" t="shared" si="167" ref="G447:G451">G448</f>
        <v>691.8</v>
      </c>
    </row>
    <row r="448" spans="1:7" ht="31.5">
      <c r="A448" s="104" t="s">
        <v>19</v>
      </c>
      <c r="B448" s="104">
        <v>1103</v>
      </c>
      <c r="C448" s="106">
        <v>1520000000</v>
      </c>
      <c r="D448" s="104"/>
      <c r="E448" s="105" t="s">
        <v>293</v>
      </c>
      <c r="F448" s="21">
        <f>F449</f>
        <v>691.8</v>
      </c>
      <c r="G448" s="21">
        <f t="shared" si="167"/>
        <v>691.8</v>
      </c>
    </row>
    <row r="449" spans="1:7" ht="47.25">
      <c r="A449" s="104" t="s">
        <v>19</v>
      </c>
      <c r="B449" s="104">
        <v>1103</v>
      </c>
      <c r="C449" s="106">
        <v>1520300000</v>
      </c>
      <c r="D449" s="104"/>
      <c r="E449" s="105" t="s">
        <v>346</v>
      </c>
      <c r="F449" s="21">
        <f>F450</f>
        <v>691.8</v>
      </c>
      <c r="G449" s="21">
        <f t="shared" si="167"/>
        <v>691.8</v>
      </c>
    </row>
    <row r="450" spans="1:7" ht="12.75">
      <c r="A450" s="104" t="s">
        <v>19</v>
      </c>
      <c r="B450" s="104">
        <v>1103</v>
      </c>
      <c r="C450" s="106">
        <v>1520320200</v>
      </c>
      <c r="D450" s="104"/>
      <c r="E450" s="54" t="s">
        <v>347</v>
      </c>
      <c r="F450" s="21">
        <f>F451</f>
        <v>691.8</v>
      </c>
      <c r="G450" s="21">
        <f t="shared" si="167"/>
        <v>691.8</v>
      </c>
    </row>
    <row r="451" spans="1:7" ht="31.5">
      <c r="A451" s="104" t="s">
        <v>19</v>
      </c>
      <c r="B451" s="104">
        <v>1103</v>
      </c>
      <c r="C451" s="106">
        <v>1520320200</v>
      </c>
      <c r="D451" s="106" t="s">
        <v>94</v>
      </c>
      <c r="E451" s="54" t="s">
        <v>95</v>
      </c>
      <c r="F451" s="21">
        <f>F452</f>
        <v>691.8</v>
      </c>
      <c r="G451" s="21">
        <f t="shared" si="167"/>
        <v>691.8</v>
      </c>
    </row>
    <row r="452" spans="1:7" ht="12.75">
      <c r="A452" s="104" t="s">
        <v>19</v>
      </c>
      <c r="B452" s="104">
        <v>1103</v>
      </c>
      <c r="C452" s="106">
        <v>1520320200</v>
      </c>
      <c r="D452" s="104">
        <v>610</v>
      </c>
      <c r="E452" s="54" t="s">
        <v>101</v>
      </c>
      <c r="F452" s="21">
        <v>691.8</v>
      </c>
      <c r="G452" s="21">
        <v>691.8</v>
      </c>
    </row>
    <row r="453" spans="1:7" ht="12.75">
      <c r="A453" s="116" t="s">
        <v>19</v>
      </c>
      <c r="B453" s="116">
        <v>1103</v>
      </c>
      <c r="C453" s="116">
        <v>9900000000</v>
      </c>
      <c r="D453" s="116"/>
      <c r="E453" s="54" t="s">
        <v>102</v>
      </c>
      <c r="F453" s="21">
        <f>F454</f>
        <v>300</v>
      </c>
      <c r="G453" s="21">
        <f aca="true" t="shared" si="168" ref="G453:G456">G454</f>
        <v>300</v>
      </c>
    </row>
    <row r="454" spans="1:7" ht="47.25">
      <c r="A454" s="116" t="s">
        <v>19</v>
      </c>
      <c r="B454" s="116">
        <v>1103</v>
      </c>
      <c r="C454" s="116">
        <v>9920000000</v>
      </c>
      <c r="D454" s="116"/>
      <c r="E454" s="54" t="s">
        <v>377</v>
      </c>
      <c r="F454" s="21">
        <f>F455</f>
        <v>300</v>
      </c>
      <c r="G454" s="21">
        <f t="shared" si="168"/>
        <v>300</v>
      </c>
    </row>
    <row r="455" spans="1:7" ht="47.25">
      <c r="A455" s="116" t="s">
        <v>19</v>
      </c>
      <c r="B455" s="116">
        <v>1103</v>
      </c>
      <c r="C455" s="116">
        <v>9920010920</v>
      </c>
      <c r="D455" s="116"/>
      <c r="E455" s="54" t="s">
        <v>378</v>
      </c>
      <c r="F455" s="21">
        <f>F456</f>
        <v>300</v>
      </c>
      <c r="G455" s="21">
        <f t="shared" si="168"/>
        <v>300</v>
      </c>
    </row>
    <row r="456" spans="1:7" ht="31.5">
      <c r="A456" s="116" t="s">
        <v>19</v>
      </c>
      <c r="B456" s="116">
        <v>1103</v>
      </c>
      <c r="C456" s="116">
        <v>9920010920</v>
      </c>
      <c r="D456" s="116" t="s">
        <v>94</v>
      </c>
      <c r="E456" s="54" t="s">
        <v>95</v>
      </c>
      <c r="F456" s="21">
        <f>F457</f>
        <v>300</v>
      </c>
      <c r="G456" s="21">
        <f t="shared" si="168"/>
        <v>300</v>
      </c>
    </row>
    <row r="457" spans="1:7" ht="12.75">
      <c r="A457" s="116" t="s">
        <v>19</v>
      </c>
      <c r="B457" s="116">
        <v>1103</v>
      </c>
      <c r="C457" s="116">
        <v>9920010920</v>
      </c>
      <c r="D457" s="116">
        <v>610</v>
      </c>
      <c r="E457" s="54" t="s">
        <v>101</v>
      </c>
      <c r="F457" s="21">
        <f>200+100</f>
        <v>300</v>
      </c>
      <c r="G457" s="21">
        <v>300</v>
      </c>
    </row>
    <row r="458" spans="1:7" ht="12.75">
      <c r="A458" s="104" t="s">
        <v>19</v>
      </c>
      <c r="B458" s="104" t="s">
        <v>90</v>
      </c>
      <c r="C458" s="104" t="s">
        <v>66</v>
      </c>
      <c r="D458" s="104" t="s">
        <v>66</v>
      </c>
      <c r="E458" s="42" t="s">
        <v>63</v>
      </c>
      <c r="F458" s="21">
        <f>F459</f>
        <v>1563.9</v>
      </c>
      <c r="G458" s="21">
        <f aca="true" t="shared" si="169" ref="G458:G461">G459</f>
        <v>1563.9</v>
      </c>
    </row>
    <row r="459" spans="1:7" ht="12.75">
      <c r="A459" s="104" t="s">
        <v>19</v>
      </c>
      <c r="B459" s="104" t="s">
        <v>64</v>
      </c>
      <c r="C459" s="104" t="s">
        <v>66</v>
      </c>
      <c r="D459" s="104" t="s">
        <v>66</v>
      </c>
      <c r="E459" s="105" t="s">
        <v>65</v>
      </c>
      <c r="F459" s="21">
        <f>F460</f>
        <v>1563.9</v>
      </c>
      <c r="G459" s="21">
        <f t="shared" si="169"/>
        <v>1563.9</v>
      </c>
    </row>
    <row r="460" spans="1:7" ht="47.25">
      <c r="A460" s="104" t="s">
        <v>19</v>
      </c>
      <c r="B460" s="104" t="s">
        <v>64</v>
      </c>
      <c r="C460" s="106">
        <v>1200000000</v>
      </c>
      <c r="D460" s="104"/>
      <c r="E460" s="105" t="s">
        <v>187</v>
      </c>
      <c r="F460" s="21">
        <f>F461</f>
        <v>1563.9</v>
      </c>
      <c r="G460" s="21">
        <f t="shared" si="169"/>
        <v>1563.9</v>
      </c>
    </row>
    <row r="461" spans="1:7" ht="47.25">
      <c r="A461" s="104" t="s">
        <v>19</v>
      </c>
      <c r="B461" s="104" t="s">
        <v>64</v>
      </c>
      <c r="C461" s="106">
        <v>1240000000</v>
      </c>
      <c r="D461" s="104"/>
      <c r="E461" s="105" t="s">
        <v>133</v>
      </c>
      <c r="F461" s="21">
        <f>F462</f>
        <v>1563.9</v>
      </c>
      <c r="G461" s="21">
        <f t="shared" si="169"/>
        <v>1563.9</v>
      </c>
    </row>
    <row r="462" spans="1:7" ht="31.5">
      <c r="A462" s="104" t="s">
        <v>19</v>
      </c>
      <c r="B462" s="104" t="s">
        <v>64</v>
      </c>
      <c r="C462" s="104">
        <v>1240300000</v>
      </c>
      <c r="D462" s="104"/>
      <c r="E462" s="105" t="s">
        <v>208</v>
      </c>
      <c r="F462" s="21">
        <f>F469+F466+F463</f>
        <v>1563.9</v>
      </c>
      <c r="G462" s="21">
        <f aca="true" t="shared" si="170" ref="G462">G469+G466+G463</f>
        <v>1563.9</v>
      </c>
    </row>
    <row r="463" spans="1:7" ht="63">
      <c r="A463" s="104" t="s">
        <v>19</v>
      </c>
      <c r="B463" s="104" t="s">
        <v>64</v>
      </c>
      <c r="C463" s="104">
        <v>1240310320</v>
      </c>
      <c r="D463" s="104"/>
      <c r="E463" s="54" t="s">
        <v>286</v>
      </c>
      <c r="F463" s="21">
        <f>F464</f>
        <v>471.4</v>
      </c>
      <c r="G463" s="21">
        <f aca="true" t="shared" si="171" ref="G463:G464">G464</f>
        <v>471.4</v>
      </c>
    </row>
    <row r="464" spans="1:7" ht="31.5">
      <c r="A464" s="104" t="s">
        <v>19</v>
      </c>
      <c r="B464" s="104" t="s">
        <v>64</v>
      </c>
      <c r="C464" s="104">
        <v>1240310320</v>
      </c>
      <c r="D464" s="106" t="s">
        <v>94</v>
      </c>
      <c r="E464" s="105" t="s">
        <v>95</v>
      </c>
      <c r="F464" s="21">
        <f>F465</f>
        <v>471.4</v>
      </c>
      <c r="G464" s="21">
        <f t="shared" si="171"/>
        <v>471.4</v>
      </c>
    </row>
    <row r="465" spans="1:7" ht="47.25">
      <c r="A465" s="104" t="s">
        <v>19</v>
      </c>
      <c r="B465" s="104" t="s">
        <v>64</v>
      </c>
      <c r="C465" s="104">
        <v>1240310320</v>
      </c>
      <c r="D465" s="104">
        <v>630</v>
      </c>
      <c r="E465" s="105" t="s">
        <v>151</v>
      </c>
      <c r="F465" s="17">
        <v>471.4</v>
      </c>
      <c r="G465" s="17">
        <v>471.4</v>
      </c>
    </row>
    <row r="466" spans="1:7" ht="47.25">
      <c r="A466" s="104" t="s">
        <v>19</v>
      </c>
      <c r="B466" s="104" t="s">
        <v>64</v>
      </c>
      <c r="C466" s="104">
        <v>1240320400</v>
      </c>
      <c r="D466" s="104"/>
      <c r="E466" s="105" t="s">
        <v>287</v>
      </c>
      <c r="F466" s="21">
        <f>F467</f>
        <v>456</v>
      </c>
      <c r="G466" s="21">
        <f aca="true" t="shared" si="172" ref="G466:G467">G467</f>
        <v>456</v>
      </c>
    </row>
    <row r="467" spans="1:7" ht="31.5">
      <c r="A467" s="104" t="s">
        <v>19</v>
      </c>
      <c r="B467" s="104" t="s">
        <v>64</v>
      </c>
      <c r="C467" s="104">
        <v>1240320400</v>
      </c>
      <c r="D467" s="106" t="s">
        <v>69</v>
      </c>
      <c r="E467" s="105" t="s">
        <v>92</v>
      </c>
      <c r="F467" s="21">
        <f>F468</f>
        <v>456</v>
      </c>
      <c r="G467" s="21">
        <f t="shared" si="172"/>
        <v>456</v>
      </c>
    </row>
    <row r="468" spans="1:7" ht="31.5">
      <c r="A468" s="104" t="s">
        <v>19</v>
      </c>
      <c r="B468" s="104" t="s">
        <v>64</v>
      </c>
      <c r="C468" s="104">
        <v>1240320400</v>
      </c>
      <c r="D468" s="104">
        <v>240</v>
      </c>
      <c r="E468" s="105" t="s">
        <v>245</v>
      </c>
      <c r="F468" s="21">
        <f>396+60</f>
        <v>456</v>
      </c>
      <c r="G468" s="21">
        <v>456</v>
      </c>
    </row>
    <row r="469" spans="1:7" ht="63">
      <c r="A469" s="104" t="s">
        <v>19</v>
      </c>
      <c r="B469" s="104" t="s">
        <v>64</v>
      </c>
      <c r="C469" s="104" t="s">
        <v>154</v>
      </c>
      <c r="D469" s="104"/>
      <c r="E469" s="105" t="s">
        <v>153</v>
      </c>
      <c r="F469" s="21">
        <f>F470</f>
        <v>636.5</v>
      </c>
      <c r="G469" s="21">
        <f aca="true" t="shared" si="173" ref="G469:G470">G470</f>
        <v>636.5</v>
      </c>
    </row>
    <row r="470" spans="1:7" ht="31.5">
      <c r="A470" s="104" t="s">
        <v>19</v>
      </c>
      <c r="B470" s="104" t="s">
        <v>64</v>
      </c>
      <c r="C470" s="104" t="s">
        <v>154</v>
      </c>
      <c r="D470" s="106" t="s">
        <v>94</v>
      </c>
      <c r="E470" s="105" t="s">
        <v>95</v>
      </c>
      <c r="F470" s="21">
        <f>F471</f>
        <v>636.5</v>
      </c>
      <c r="G470" s="21">
        <f t="shared" si="173"/>
        <v>636.5</v>
      </c>
    </row>
    <row r="471" spans="1:7" ht="47.25">
      <c r="A471" s="104" t="s">
        <v>19</v>
      </c>
      <c r="B471" s="104" t="s">
        <v>64</v>
      </c>
      <c r="C471" s="104" t="s">
        <v>154</v>
      </c>
      <c r="D471" s="104">
        <v>630</v>
      </c>
      <c r="E471" s="105" t="s">
        <v>151</v>
      </c>
      <c r="F471" s="21">
        <v>636.5</v>
      </c>
      <c r="G471" s="21">
        <v>636.5</v>
      </c>
    </row>
    <row r="472" spans="1:7" ht="12.75">
      <c r="A472" s="16" t="s">
        <v>35</v>
      </c>
      <c r="B472" s="24" t="s">
        <v>66</v>
      </c>
      <c r="C472" s="24" t="s">
        <v>66</v>
      </c>
      <c r="D472" s="24" t="s">
        <v>66</v>
      </c>
      <c r="E472" s="40" t="s">
        <v>335</v>
      </c>
      <c r="F472" s="26">
        <f>F473+F489</f>
        <v>8156.7</v>
      </c>
      <c r="G472" s="26">
        <f>G473+G489</f>
        <v>7356.7</v>
      </c>
    </row>
    <row r="473" spans="1:7" ht="12.75">
      <c r="A473" s="104" t="s">
        <v>35</v>
      </c>
      <c r="B473" s="104" t="s">
        <v>54</v>
      </c>
      <c r="C473" s="104" t="s">
        <v>66</v>
      </c>
      <c r="D473" s="104" t="s">
        <v>66</v>
      </c>
      <c r="E473" s="45" t="s">
        <v>20</v>
      </c>
      <c r="F473" s="21">
        <f>F474+F483</f>
        <v>8144.4</v>
      </c>
      <c r="G473" s="21">
        <f aca="true" t="shared" si="174" ref="G473">G474+G483</f>
        <v>7344.4</v>
      </c>
    </row>
    <row r="474" spans="1:7" ht="47.25">
      <c r="A474" s="104" t="s">
        <v>35</v>
      </c>
      <c r="B474" s="104" t="s">
        <v>46</v>
      </c>
      <c r="C474" s="104" t="s">
        <v>66</v>
      </c>
      <c r="D474" s="104" t="s">
        <v>66</v>
      </c>
      <c r="E474" s="105" t="s">
        <v>7</v>
      </c>
      <c r="F474" s="21">
        <f>F475</f>
        <v>7344.4</v>
      </c>
      <c r="G474" s="21">
        <f aca="true" t="shared" si="175" ref="G474:G477">G475</f>
        <v>7344.4</v>
      </c>
    </row>
    <row r="475" spans="1:7" ht="12.75">
      <c r="A475" s="104" t="s">
        <v>35</v>
      </c>
      <c r="B475" s="104" t="s">
        <v>46</v>
      </c>
      <c r="C475" s="104">
        <v>9900000000</v>
      </c>
      <c r="D475" s="104"/>
      <c r="E475" s="105" t="s">
        <v>102</v>
      </c>
      <c r="F475" s="21">
        <f>F476</f>
        <v>7344.4</v>
      </c>
      <c r="G475" s="21">
        <f t="shared" si="175"/>
        <v>7344.4</v>
      </c>
    </row>
    <row r="476" spans="1:7" ht="47.25">
      <c r="A476" s="104" t="s">
        <v>35</v>
      </c>
      <c r="B476" s="104" t="s">
        <v>46</v>
      </c>
      <c r="C476" s="104">
        <v>9990000000</v>
      </c>
      <c r="D476" s="104"/>
      <c r="E476" s="105" t="s">
        <v>155</v>
      </c>
      <c r="F476" s="21">
        <f>F477</f>
        <v>7344.4</v>
      </c>
      <c r="G476" s="21">
        <f t="shared" si="175"/>
        <v>7344.4</v>
      </c>
    </row>
    <row r="477" spans="1:7" ht="31.5">
      <c r="A477" s="104" t="s">
        <v>35</v>
      </c>
      <c r="B477" s="104" t="s">
        <v>46</v>
      </c>
      <c r="C477" s="104">
        <v>9990200000</v>
      </c>
      <c r="D477" s="24"/>
      <c r="E477" s="105" t="s">
        <v>115</v>
      </c>
      <c r="F477" s="21">
        <f aca="true" t="shared" si="176" ref="F477">F478</f>
        <v>7344.4</v>
      </c>
      <c r="G477" s="21">
        <f t="shared" si="175"/>
        <v>7344.4</v>
      </c>
    </row>
    <row r="478" spans="1:7" ht="47.25">
      <c r="A478" s="104" t="s">
        <v>35</v>
      </c>
      <c r="B478" s="104" t="s">
        <v>46</v>
      </c>
      <c r="C478" s="104">
        <v>9990225000</v>
      </c>
      <c r="D478" s="104"/>
      <c r="E478" s="105" t="s">
        <v>116</v>
      </c>
      <c r="F478" s="21">
        <f>F479+F481</f>
        <v>7344.4</v>
      </c>
      <c r="G478" s="21">
        <f aca="true" t="shared" si="177" ref="G478">G479+G481</f>
        <v>7344.4</v>
      </c>
    </row>
    <row r="479" spans="1:7" ht="78.75">
      <c r="A479" s="104" t="s">
        <v>35</v>
      </c>
      <c r="B479" s="104" t="s">
        <v>46</v>
      </c>
      <c r="C479" s="104">
        <v>9990225000</v>
      </c>
      <c r="D479" s="104" t="s">
        <v>68</v>
      </c>
      <c r="E479" s="105" t="s">
        <v>1</v>
      </c>
      <c r="F479" s="21">
        <f>F480</f>
        <v>7279</v>
      </c>
      <c r="G479" s="21">
        <f aca="true" t="shared" si="178" ref="G479">G480</f>
        <v>7279</v>
      </c>
    </row>
    <row r="480" spans="1:7" ht="31.5">
      <c r="A480" s="104" t="s">
        <v>35</v>
      </c>
      <c r="B480" s="104" t="s">
        <v>46</v>
      </c>
      <c r="C480" s="104">
        <v>9990225000</v>
      </c>
      <c r="D480" s="104">
        <v>120</v>
      </c>
      <c r="E480" s="105" t="s">
        <v>246</v>
      </c>
      <c r="F480" s="21">
        <f>7248.2+30.8</f>
        <v>7279</v>
      </c>
      <c r="G480" s="21">
        <v>7279</v>
      </c>
    </row>
    <row r="481" spans="1:7" ht="12.75">
      <c r="A481" s="104" t="s">
        <v>35</v>
      </c>
      <c r="B481" s="104" t="s">
        <v>46</v>
      </c>
      <c r="C481" s="104">
        <v>9990225000</v>
      </c>
      <c r="D481" s="104" t="s">
        <v>70</v>
      </c>
      <c r="E481" s="105" t="s">
        <v>71</v>
      </c>
      <c r="F481" s="21">
        <f>F482</f>
        <v>65.4</v>
      </c>
      <c r="G481" s="21">
        <f aca="true" t="shared" si="179" ref="G481">G482</f>
        <v>65.4</v>
      </c>
    </row>
    <row r="482" spans="1:7" ht="12.75">
      <c r="A482" s="104" t="s">
        <v>35</v>
      </c>
      <c r="B482" s="104" t="s">
        <v>46</v>
      </c>
      <c r="C482" s="104">
        <v>9990225000</v>
      </c>
      <c r="D482" s="104">
        <v>850</v>
      </c>
      <c r="E482" s="105" t="s">
        <v>97</v>
      </c>
      <c r="F482" s="21">
        <f>75.4-10</f>
        <v>65.4</v>
      </c>
      <c r="G482" s="21">
        <v>65.4</v>
      </c>
    </row>
    <row r="483" spans="1:7" ht="12.75">
      <c r="A483" s="104" t="s">
        <v>35</v>
      </c>
      <c r="B483" s="104" t="s">
        <v>47</v>
      </c>
      <c r="C483" s="104"/>
      <c r="D483" s="104"/>
      <c r="E483" s="105" t="s">
        <v>8</v>
      </c>
      <c r="F483" s="21">
        <f>F484</f>
        <v>800</v>
      </c>
      <c r="G483" s="21">
        <f aca="true" t="shared" si="180" ref="G483:G487">G484</f>
        <v>0</v>
      </c>
    </row>
    <row r="484" spans="1:7" ht="12.75">
      <c r="A484" s="104" t="s">
        <v>35</v>
      </c>
      <c r="B484" s="104" t="s">
        <v>47</v>
      </c>
      <c r="C484" s="104">
        <v>9900000000</v>
      </c>
      <c r="D484" s="104"/>
      <c r="E484" s="105" t="s">
        <v>102</v>
      </c>
      <c r="F484" s="21">
        <f>F485</f>
        <v>800</v>
      </c>
      <c r="G484" s="21">
        <f t="shared" si="180"/>
        <v>0</v>
      </c>
    </row>
    <row r="485" spans="1:7" ht="12.75">
      <c r="A485" s="104" t="s">
        <v>35</v>
      </c>
      <c r="B485" s="104" t="s">
        <v>47</v>
      </c>
      <c r="C485" s="104">
        <v>9910000000</v>
      </c>
      <c r="D485" s="104"/>
      <c r="E485" s="105" t="s">
        <v>8</v>
      </c>
      <c r="F485" s="21">
        <f>F486</f>
        <v>800</v>
      </c>
      <c r="G485" s="21">
        <f t="shared" si="180"/>
        <v>0</v>
      </c>
    </row>
    <row r="486" spans="1:7" ht="12.75">
      <c r="A486" s="104" t="s">
        <v>35</v>
      </c>
      <c r="B486" s="104" t="s">
        <v>47</v>
      </c>
      <c r="C486" s="104">
        <v>9910020000</v>
      </c>
      <c r="D486" s="104"/>
      <c r="E486" s="105" t="s">
        <v>348</v>
      </c>
      <c r="F486" s="21">
        <f>F487</f>
        <v>800</v>
      </c>
      <c r="G486" s="21">
        <f t="shared" si="180"/>
        <v>0</v>
      </c>
    </row>
    <row r="487" spans="1:7" ht="12.75">
      <c r="A487" s="104" t="s">
        <v>35</v>
      </c>
      <c r="B487" s="104" t="s">
        <v>47</v>
      </c>
      <c r="C487" s="104">
        <v>9910020000</v>
      </c>
      <c r="D487" s="106" t="s">
        <v>70</v>
      </c>
      <c r="E487" s="105" t="s">
        <v>71</v>
      </c>
      <c r="F487" s="21">
        <f>F488</f>
        <v>800</v>
      </c>
      <c r="G487" s="21">
        <f t="shared" si="180"/>
        <v>0</v>
      </c>
    </row>
    <row r="488" spans="1:7" ht="12.75">
      <c r="A488" s="104" t="s">
        <v>35</v>
      </c>
      <c r="B488" s="104" t="s">
        <v>47</v>
      </c>
      <c r="C488" s="104">
        <v>9910020000</v>
      </c>
      <c r="D488" s="2" t="s">
        <v>171</v>
      </c>
      <c r="E488" s="46" t="s">
        <v>172</v>
      </c>
      <c r="F488" s="21">
        <f>1000-200</f>
        <v>800</v>
      </c>
      <c r="G488" s="21">
        <v>0</v>
      </c>
    </row>
    <row r="489" spans="1:7" ht="31.5">
      <c r="A489" s="104" t="s">
        <v>35</v>
      </c>
      <c r="B489" s="104" t="s">
        <v>252</v>
      </c>
      <c r="C489" s="104" t="s">
        <v>66</v>
      </c>
      <c r="D489" s="104" t="s">
        <v>66</v>
      </c>
      <c r="E489" s="54" t="s">
        <v>253</v>
      </c>
      <c r="F489" s="21">
        <f aca="true" t="shared" si="181" ref="F489:F494">F490</f>
        <v>12.3</v>
      </c>
      <c r="G489" s="21">
        <f aca="true" t="shared" si="182" ref="G489">G490</f>
        <v>12.3</v>
      </c>
    </row>
    <row r="490" spans="1:7" ht="31.5">
      <c r="A490" s="104" t="s">
        <v>35</v>
      </c>
      <c r="B490" s="104" t="s">
        <v>254</v>
      </c>
      <c r="C490" s="104" t="s">
        <v>66</v>
      </c>
      <c r="D490" s="104" t="s">
        <v>66</v>
      </c>
      <c r="E490" s="54" t="s">
        <v>255</v>
      </c>
      <c r="F490" s="21">
        <f t="shared" si="181"/>
        <v>12.3</v>
      </c>
      <c r="G490" s="21">
        <f aca="true" t="shared" si="183" ref="G490:G494">G491</f>
        <v>12.3</v>
      </c>
    </row>
    <row r="491" spans="1:7" ht="12.75">
      <c r="A491" s="104" t="s">
        <v>35</v>
      </c>
      <c r="B491" s="104" t="s">
        <v>254</v>
      </c>
      <c r="C491" s="104">
        <v>9900000000</v>
      </c>
      <c r="D491" s="104"/>
      <c r="E491" s="54" t="s">
        <v>102</v>
      </c>
      <c r="F491" s="21">
        <f t="shared" si="181"/>
        <v>12.3</v>
      </c>
      <c r="G491" s="21">
        <f t="shared" si="183"/>
        <v>12.3</v>
      </c>
    </row>
    <row r="492" spans="1:7" ht="31.5">
      <c r="A492" s="104" t="s">
        <v>35</v>
      </c>
      <c r="B492" s="104" t="s">
        <v>254</v>
      </c>
      <c r="C492" s="104">
        <v>9930000000</v>
      </c>
      <c r="D492" s="104"/>
      <c r="E492" s="54" t="s">
        <v>165</v>
      </c>
      <c r="F492" s="21">
        <f t="shared" si="181"/>
        <v>12.3</v>
      </c>
      <c r="G492" s="21">
        <f t="shared" si="183"/>
        <v>12.3</v>
      </c>
    </row>
    <row r="493" spans="1:7" ht="12.75">
      <c r="A493" s="104" t="s">
        <v>35</v>
      </c>
      <c r="B493" s="104" t="s">
        <v>254</v>
      </c>
      <c r="C493" s="104">
        <v>9930020500</v>
      </c>
      <c r="D493" s="104"/>
      <c r="E493" s="54" t="s">
        <v>256</v>
      </c>
      <c r="F493" s="21">
        <f t="shared" si="181"/>
        <v>12.3</v>
      </c>
      <c r="G493" s="21">
        <f t="shared" si="183"/>
        <v>12.3</v>
      </c>
    </row>
    <row r="494" spans="1:7" ht="31.5">
      <c r="A494" s="104" t="s">
        <v>35</v>
      </c>
      <c r="B494" s="104" t="s">
        <v>254</v>
      </c>
      <c r="C494" s="104">
        <v>9930020500</v>
      </c>
      <c r="D494" s="104" t="s">
        <v>257</v>
      </c>
      <c r="E494" s="54" t="s">
        <v>258</v>
      </c>
      <c r="F494" s="21">
        <f t="shared" si="181"/>
        <v>12.3</v>
      </c>
      <c r="G494" s="21">
        <f t="shared" si="183"/>
        <v>12.3</v>
      </c>
    </row>
    <row r="495" spans="1:7" ht="12.75">
      <c r="A495" s="104" t="s">
        <v>35</v>
      </c>
      <c r="B495" s="104" t="s">
        <v>254</v>
      </c>
      <c r="C495" s="104">
        <v>9930020500</v>
      </c>
      <c r="D495" s="1" t="s">
        <v>259</v>
      </c>
      <c r="E495" s="57" t="s">
        <v>256</v>
      </c>
      <c r="F495" s="21">
        <f>20-7.7</f>
        <v>12.3</v>
      </c>
      <c r="G495" s="21">
        <v>12.3</v>
      </c>
    </row>
    <row r="496" spans="1:7" ht="47.25">
      <c r="A496" s="16" t="s">
        <v>33</v>
      </c>
      <c r="B496" s="24" t="s">
        <v>66</v>
      </c>
      <c r="C496" s="24" t="s">
        <v>66</v>
      </c>
      <c r="D496" s="24" t="s">
        <v>66</v>
      </c>
      <c r="E496" s="40" t="s">
        <v>339</v>
      </c>
      <c r="F496" s="26">
        <f>F497+F520+F528+F536</f>
        <v>18906.6</v>
      </c>
      <c r="G496" s="26">
        <f>G497+G520+G528+G536</f>
        <v>14697.699999999997</v>
      </c>
    </row>
    <row r="497" spans="1:7" ht="12.75">
      <c r="A497" s="106" t="s">
        <v>33</v>
      </c>
      <c r="B497" s="106" t="s">
        <v>54</v>
      </c>
      <c r="C497" s="106" t="s">
        <v>66</v>
      </c>
      <c r="D497" s="106" t="s">
        <v>66</v>
      </c>
      <c r="E497" s="45" t="s">
        <v>20</v>
      </c>
      <c r="F497" s="21">
        <f>F498</f>
        <v>11491.3</v>
      </c>
      <c r="G497" s="21">
        <f aca="true" t="shared" si="184" ref="G497">G498</f>
        <v>11197.599999999999</v>
      </c>
    </row>
    <row r="498" spans="1:7" ht="12.75">
      <c r="A498" s="106" t="s">
        <v>33</v>
      </c>
      <c r="B498" s="106" t="s">
        <v>60</v>
      </c>
      <c r="C498" s="106" t="s">
        <v>66</v>
      </c>
      <c r="D498" s="106" t="s">
        <v>66</v>
      </c>
      <c r="E498" s="105" t="s">
        <v>23</v>
      </c>
      <c r="F498" s="21">
        <f>F499+F508</f>
        <v>11491.3</v>
      </c>
      <c r="G498" s="21">
        <f>G499+G508</f>
        <v>11197.599999999999</v>
      </c>
    </row>
    <row r="499" spans="1:7" ht="63">
      <c r="A499" s="106" t="s">
        <v>33</v>
      </c>
      <c r="B499" s="106" t="s">
        <v>60</v>
      </c>
      <c r="C499" s="106">
        <v>1600000000</v>
      </c>
      <c r="D499" s="106"/>
      <c r="E499" s="105" t="s">
        <v>111</v>
      </c>
      <c r="F499" s="21">
        <f>F500</f>
        <v>5396.900000000001</v>
      </c>
      <c r="G499" s="21">
        <f aca="true" t="shared" si="185" ref="G499">G500</f>
        <v>5121.5</v>
      </c>
    </row>
    <row r="500" spans="1:7" ht="47.25">
      <c r="A500" s="106" t="s">
        <v>33</v>
      </c>
      <c r="B500" s="106" t="s">
        <v>60</v>
      </c>
      <c r="C500" s="106">
        <v>1620000000</v>
      </c>
      <c r="D500" s="106"/>
      <c r="E500" s="105" t="s">
        <v>104</v>
      </c>
      <c r="F500" s="21">
        <f>F501</f>
        <v>5396.900000000001</v>
      </c>
      <c r="G500" s="21">
        <f aca="true" t="shared" si="186" ref="G500">G501</f>
        <v>5121.5</v>
      </c>
    </row>
    <row r="501" spans="1:7" ht="12.75">
      <c r="A501" s="106" t="s">
        <v>33</v>
      </c>
      <c r="B501" s="106" t="s">
        <v>60</v>
      </c>
      <c r="C501" s="106">
        <v>1620100000</v>
      </c>
      <c r="D501" s="106"/>
      <c r="E501" s="105" t="s">
        <v>105</v>
      </c>
      <c r="F501" s="21">
        <f>F502+F505</f>
        <v>5396.900000000001</v>
      </c>
      <c r="G501" s="21">
        <f aca="true" t="shared" si="187" ref="G501">G502+G505</f>
        <v>5121.5</v>
      </c>
    </row>
    <row r="502" spans="1:7" ht="31.5">
      <c r="A502" s="106" t="s">
        <v>33</v>
      </c>
      <c r="B502" s="106" t="s">
        <v>60</v>
      </c>
      <c r="C502" s="106">
        <v>1620120210</v>
      </c>
      <c r="D502" s="18"/>
      <c r="E502" s="105" t="s">
        <v>106</v>
      </c>
      <c r="F502" s="21">
        <f>F503</f>
        <v>5211.3</v>
      </c>
      <c r="G502" s="21">
        <f aca="true" t="shared" si="188" ref="G502:G503">G503</f>
        <v>4936.9</v>
      </c>
    </row>
    <row r="503" spans="1:7" ht="31.5">
      <c r="A503" s="106" t="s">
        <v>33</v>
      </c>
      <c r="B503" s="106" t="s">
        <v>60</v>
      </c>
      <c r="C503" s="106">
        <v>1620120210</v>
      </c>
      <c r="D503" s="106" t="s">
        <v>69</v>
      </c>
      <c r="E503" s="105" t="s">
        <v>92</v>
      </c>
      <c r="F503" s="21">
        <f>F504</f>
        <v>5211.3</v>
      </c>
      <c r="G503" s="21">
        <f t="shared" si="188"/>
        <v>4936.9</v>
      </c>
    </row>
    <row r="504" spans="1:7" ht="31.5">
      <c r="A504" s="106" t="s">
        <v>33</v>
      </c>
      <c r="B504" s="106" t="s">
        <v>60</v>
      </c>
      <c r="C504" s="106">
        <v>1620120210</v>
      </c>
      <c r="D504" s="104">
        <v>240</v>
      </c>
      <c r="E504" s="105" t="s">
        <v>245</v>
      </c>
      <c r="F504" s="21">
        <f>2272.2-359+1281.4+2412.1-355.4-40</f>
        <v>5211.3</v>
      </c>
      <c r="G504" s="21">
        <v>4936.9</v>
      </c>
    </row>
    <row r="505" spans="1:7" ht="31.5">
      <c r="A505" s="106" t="s">
        <v>33</v>
      </c>
      <c r="B505" s="106" t="s">
        <v>60</v>
      </c>
      <c r="C505" s="106">
        <v>1620120220</v>
      </c>
      <c r="D505" s="104"/>
      <c r="E505" s="105" t="s">
        <v>103</v>
      </c>
      <c r="F505" s="21">
        <f>F506</f>
        <v>185.6</v>
      </c>
      <c r="G505" s="21">
        <f aca="true" t="shared" si="189" ref="G505">G506</f>
        <v>184.6</v>
      </c>
    </row>
    <row r="506" spans="1:7" ht="31.5">
      <c r="A506" s="106" t="s">
        <v>33</v>
      </c>
      <c r="B506" s="106" t="s">
        <v>60</v>
      </c>
      <c r="C506" s="106">
        <v>1620120220</v>
      </c>
      <c r="D506" s="106" t="s">
        <v>69</v>
      </c>
      <c r="E506" s="105" t="s">
        <v>92</v>
      </c>
      <c r="F506" s="21">
        <f>F507</f>
        <v>185.6</v>
      </c>
      <c r="G506" s="21">
        <f aca="true" t="shared" si="190" ref="G506">G507</f>
        <v>184.6</v>
      </c>
    </row>
    <row r="507" spans="1:7" ht="31.5">
      <c r="A507" s="106" t="s">
        <v>33</v>
      </c>
      <c r="B507" s="106" t="s">
        <v>60</v>
      </c>
      <c r="C507" s="106">
        <v>1620120220</v>
      </c>
      <c r="D507" s="104">
        <v>240</v>
      </c>
      <c r="E507" s="105" t="s">
        <v>245</v>
      </c>
      <c r="F507" s="21">
        <f>126+19.6+40</f>
        <v>185.6</v>
      </c>
      <c r="G507" s="21">
        <v>184.6</v>
      </c>
    </row>
    <row r="508" spans="1:7" ht="12.75">
      <c r="A508" s="106" t="s">
        <v>33</v>
      </c>
      <c r="B508" s="106" t="s">
        <v>60</v>
      </c>
      <c r="C508" s="106" t="s">
        <v>107</v>
      </c>
      <c r="D508" s="106" t="s">
        <v>66</v>
      </c>
      <c r="E508" s="105" t="s">
        <v>102</v>
      </c>
      <c r="F508" s="21">
        <f>F515+F509</f>
        <v>6094.4</v>
      </c>
      <c r="G508" s="21">
        <f>G515+G509</f>
        <v>6076.099999999999</v>
      </c>
    </row>
    <row r="509" spans="1:7" ht="31.5">
      <c r="A509" s="106" t="s">
        <v>33</v>
      </c>
      <c r="B509" s="106" t="s">
        <v>60</v>
      </c>
      <c r="C509" s="104">
        <v>9930000000</v>
      </c>
      <c r="D509" s="104"/>
      <c r="E509" s="54" t="s">
        <v>165</v>
      </c>
      <c r="F509" s="21">
        <f>F510</f>
        <v>401.9</v>
      </c>
      <c r="G509" s="21">
        <f aca="true" t="shared" si="191" ref="G509">G510</f>
        <v>401.9</v>
      </c>
    </row>
    <row r="510" spans="1:7" ht="31.5">
      <c r="A510" s="106" t="s">
        <v>33</v>
      </c>
      <c r="B510" s="106" t="s">
        <v>60</v>
      </c>
      <c r="C510" s="104">
        <v>9930020490</v>
      </c>
      <c r="D510" s="104"/>
      <c r="E510" s="54" t="s">
        <v>367</v>
      </c>
      <c r="F510" s="21">
        <f>F511+F513</f>
        <v>401.9</v>
      </c>
      <c r="G510" s="21">
        <f aca="true" t="shared" si="192" ref="G510">G511+G513</f>
        <v>401.9</v>
      </c>
    </row>
    <row r="511" spans="1:7" ht="31.5">
      <c r="A511" s="106" t="s">
        <v>33</v>
      </c>
      <c r="B511" s="106" t="s">
        <v>60</v>
      </c>
      <c r="C511" s="104">
        <v>9930020490</v>
      </c>
      <c r="D511" s="106" t="s">
        <v>69</v>
      </c>
      <c r="E511" s="105" t="s">
        <v>92</v>
      </c>
      <c r="F511" s="21">
        <f>F512</f>
        <v>78.6</v>
      </c>
      <c r="G511" s="21">
        <f aca="true" t="shared" si="193" ref="G511">G512</f>
        <v>78.6</v>
      </c>
    </row>
    <row r="512" spans="1:7" ht="31.5">
      <c r="A512" s="106" t="s">
        <v>33</v>
      </c>
      <c r="B512" s="106" t="s">
        <v>60</v>
      </c>
      <c r="C512" s="104">
        <v>9930020490</v>
      </c>
      <c r="D512" s="104">
        <v>240</v>
      </c>
      <c r="E512" s="105" t="s">
        <v>245</v>
      </c>
      <c r="F512" s="21">
        <v>78.6</v>
      </c>
      <c r="G512" s="21">
        <v>78.6</v>
      </c>
    </row>
    <row r="513" spans="1:7" ht="12.75">
      <c r="A513" s="106" t="s">
        <v>33</v>
      </c>
      <c r="B513" s="106" t="s">
        <v>60</v>
      </c>
      <c r="C513" s="104">
        <v>9930020490</v>
      </c>
      <c r="D513" s="11" t="s">
        <v>70</v>
      </c>
      <c r="E513" s="42" t="s">
        <v>71</v>
      </c>
      <c r="F513" s="21">
        <f>F514</f>
        <v>323.29999999999995</v>
      </c>
      <c r="G513" s="21">
        <f aca="true" t="shared" si="194" ref="G513">G514</f>
        <v>323.3</v>
      </c>
    </row>
    <row r="514" spans="1:7" ht="12.75">
      <c r="A514" s="106" t="s">
        <v>33</v>
      </c>
      <c r="B514" s="106" t="s">
        <v>60</v>
      </c>
      <c r="C514" s="104">
        <v>9930020490</v>
      </c>
      <c r="D514" s="1" t="s">
        <v>368</v>
      </c>
      <c r="E514" s="57" t="s">
        <v>369</v>
      </c>
      <c r="F514" s="21">
        <f>280.4+42.9</f>
        <v>323.29999999999995</v>
      </c>
      <c r="G514" s="21">
        <v>323.3</v>
      </c>
    </row>
    <row r="515" spans="1:7" ht="47.25">
      <c r="A515" s="106" t="s">
        <v>33</v>
      </c>
      <c r="B515" s="106" t="s">
        <v>60</v>
      </c>
      <c r="C515" s="104">
        <v>9990000000</v>
      </c>
      <c r="D515" s="104"/>
      <c r="E515" s="105" t="s">
        <v>155</v>
      </c>
      <c r="F515" s="21">
        <f>F516</f>
        <v>5692.5</v>
      </c>
      <c r="G515" s="21">
        <f aca="true" t="shared" si="195" ref="G515:G517">G516</f>
        <v>5674.2</v>
      </c>
    </row>
    <row r="516" spans="1:7" ht="31.5">
      <c r="A516" s="106" t="s">
        <v>33</v>
      </c>
      <c r="B516" s="106" t="s">
        <v>60</v>
      </c>
      <c r="C516" s="104">
        <v>9990200000</v>
      </c>
      <c r="D516" s="24"/>
      <c r="E516" s="105" t="s">
        <v>115</v>
      </c>
      <c r="F516" s="21">
        <f>F517</f>
        <v>5692.5</v>
      </c>
      <c r="G516" s="21">
        <f t="shared" si="195"/>
        <v>5674.2</v>
      </c>
    </row>
    <row r="517" spans="1:7" ht="47.25">
      <c r="A517" s="106" t="s">
        <v>33</v>
      </c>
      <c r="B517" s="106" t="s">
        <v>60</v>
      </c>
      <c r="C517" s="104">
        <v>9990225000</v>
      </c>
      <c r="D517" s="104"/>
      <c r="E517" s="105" t="s">
        <v>116</v>
      </c>
      <c r="F517" s="21">
        <f>F518</f>
        <v>5692.5</v>
      </c>
      <c r="G517" s="21">
        <f t="shared" si="195"/>
        <v>5674.2</v>
      </c>
    </row>
    <row r="518" spans="1:7" ht="78.75">
      <c r="A518" s="106" t="s">
        <v>33</v>
      </c>
      <c r="B518" s="106" t="s">
        <v>60</v>
      </c>
      <c r="C518" s="104">
        <v>9990225000</v>
      </c>
      <c r="D518" s="106" t="s">
        <v>68</v>
      </c>
      <c r="E518" s="105" t="s">
        <v>1</v>
      </c>
      <c r="F518" s="21">
        <f>F519</f>
        <v>5692.5</v>
      </c>
      <c r="G518" s="21">
        <f aca="true" t="shared" si="196" ref="G518">G519</f>
        <v>5674.2</v>
      </c>
    </row>
    <row r="519" spans="1:7" ht="31.5">
      <c r="A519" s="106" t="s">
        <v>33</v>
      </c>
      <c r="B519" s="106" t="s">
        <v>60</v>
      </c>
      <c r="C519" s="104">
        <v>9990225000</v>
      </c>
      <c r="D519" s="104">
        <v>120</v>
      </c>
      <c r="E519" s="105" t="s">
        <v>246</v>
      </c>
      <c r="F519" s="21">
        <f>5250.8+426.3+15.4</f>
        <v>5692.5</v>
      </c>
      <c r="G519" s="21">
        <v>5674.2</v>
      </c>
    </row>
    <row r="520" spans="1:7" ht="12.75">
      <c r="A520" s="106" t="s">
        <v>33</v>
      </c>
      <c r="B520" s="106" t="s">
        <v>56</v>
      </c>
      <c r="C520" s="106" t="s">
        <v>66</v>
      </c>
      <c r="D520" s="106" t="s">
        <v>66</v>
      </c>
      <c r="E520" s="105" t="s">
        <v>25</v>
      </c>
      <c r="F520" s="21">
        <f aca="true" t="shared" si="197" ref="F520:G526">F521</f>
        <v>300</v>
      </c>
      <c r="G520" s="21">
        <f t="shared" si="197"/>
        <v>299.9</v>
      </c>
    </row>
    <row r="521" spans="1:7" ht="12.75">
      <c r="A521" s="106" t="s">
        <v>33</v>
      </c>
      <c r="B521" s="106" t="s">
        <v>48</v>
      </c>
      <c r="C521" s="106" t="s">
        <v>66</v>
      </c>
      <c r="D521" s="106" t="s">
        <v>66</v>
      </c>
      <c r="E521" s="105" t="s">
        <v>26</v>
      </c>
      <c r="F521" s="21">
        <f t="shared" si="197"/>
        <v>300</v>
      </c>
      <c r="G521" s="21">
        <f t="shared" si="197"/>
        <v>299.9</v>
      </c>
    </row>
    <row r="522" spans="1:7" ht="63">
      <c r="A522" s="106" t="s">
        <v>33</v>
      </c>
      <c r="B522" s="106" t="s">
        <v>48</v>
      </c>
      <c r="C522" s="106">
        <v>1600000000</v>
      </c>
      <c r="D522" s="106"/>
      <c r="E522" s="105" t="s">
        <v>111</v>
      </c>
      <c r="F522" s="21">
        <f t="shared" si="197"/>
        <v>300</v>
      </c>
      <c r="G522" s="21">
        <f t="shared" si="197"/>
        <v>299.9</v>
      </c>
    </row>
    <row r="523" spans="1:7" ht="47.25">
      <c r="A523" s="106" t="s">
        <v>33</v>
      </c>
      <c r="B523" s="106" t="s">
        <v>48</v>
      </c>
      <c r="C523" s="106">
        <v>1620000000</v>
      </c>
      <c r="D523" s="106"/>
      <c r="E523" s="105" t="s">
        <v>104</v>
      </c>
      <c r="F523" s="21">
        <f t="shared" si="197"/>
        <v>300</v>
      </c>
      <c r="G523" s="21">
        <f t="shared" si="197"/>
        <v>299.9</v>
      </c>
    </row>
    <row r="524" spans="1:7" ht="12.75">
      <c r="A524" s="106" t="s">
        <v>33</v>
      </c>
      <c r="B524" s="106" t="s">
        <v>48</v>
      </c>
      <c r="C524" s="106">
        <v>1620100000</v>
      </c>
      <c r="D524" s="106"/>
      <c r="E524" s="105" t="s">
        <v>105</v>
      </c>
      <c r="F524" s="21">
        <f t="shared" si="197"/>
        <v>300</v>
      </c>
      <c r="G524" s="21">
        <f t="shared" si="197"/>
        <v>299.9</v>
      </c>
    </row>
    <row r="525" spans="1:7" ht="31.5">
      <c r="A525" s="106" t="s">
        <v>33</v>
      </c>
      <c r="B525" s="106" t="s">
        <v>48</v>
      </c>
      <c r="C525" s="106">
        <v>1620120240</v>
      </c>
      <c r="D525" s="106"/>
      <c r="E525" s="105" t="s">
        <v>108</v>
      </c>
      <c r="F525" s="21">
        <f t="shared" si="197"/>
        <v>300</v>
      </c>
      <c r="G525" s="21">
        <f t="shared" si="197"/>
        <v>299.9</v>
      </c>
    </row>
    <row r="526" spans="1:7" ht="31.5">
      <c r="A526" s="106" t="s">
        <v>33</v>
      </c>
      <c r="B526" s="106" t="s">
        <v>48</v>
      </c>
      <c r="C526" s="106">
        <v>1620120240</v>
      </c>
      <c r="D526" s="106" t="s">
        <v>69</v>
      </c>
      <c r="E526" s="105" t="s">
        <v>92</v>
      </c>
      <c r="F526" s="21">
        <f t="shared" si="197"/>
        <v>300</v>
      </c>
      <c r="G526" s="21">
        <f t="shared" si="197"/>
        <v>299.9</v>
      </c>
    </row>
    <row r="527" spans="1:7" ht="31.5">
      <c r="A527" s="106" t="s">
        <v>33</v>
      </c>
      <c r="B527" s="106" t="s">
        <v>48</v>
      </c>
      <c r="C527" s="106">
        <v>1620120240</v>
      </c>
      <c r="D527" s="104">
        <v>240</v>
      </c>
      <c r="E527" s="105" t="s">
        <v>245</v>
      </c>
      <c r="F527" s="21">
        <v>300</v>
      </c>
      <c r="G527" s="21">
        <v>299.9</v>
      </c>
    </row>
    <row r="528" spans="1:7" ht="12.75">
      <c r="A528" s="106" t="s">
        <v>33</v>
      </c>
      <c r="B528" s="106" t="s">
        <v>57</v>
      </c>
      <c r="C528" s="106" t="s">
        <v>66</v>
      </c>
      <c r="D528" s="106" t="s">
        <v>66</v>
      </c>
      <c r="E528" s="105" t="s">
        <v>27</v>
      </c>
      <c r="F528" s="21">
        <f aca="true" t="shared" si="198" ref="F528:G534">F529</f>
        <v>2221.4</v>
      </c>
      <c r="G528" s="21">
        <f t="shared" si="198"/>
        <v>2221.4</v>
      </c>
    </row>
    <row r="529" spans="1:7" ht="12.75">
      <c r="A529" s="106" t="s">
        <v>33</v>
      </c>
      <c r="B529" s="106" t="s">
        <v>4</v>
      </c>
      <c r="C529" s="106" t="s">
        <v>66</v>
      </c>
      <c r="D529" s="106" t="s">
        <v>66</v>
      </c>
      <c r="E529" s="105" t="s">
        <v>5</v>
      </c>
      <c r="F529" s="21">
        <f t="shared" si="198"/>
        <v>2221.4</v>
      </c>
      <c r="G529" s="21">
        <f t="shared" si="198"/>
        <v>2221.4</v>
      </c>
    </row>
    <row r="530" spans="1:7" ht="63">
      <c r="A530" s="106" t="s">
        <v>33</v>
      </c>
      <c r="B530" s="106" t="s">
        <v>4</v>
      </c>
      <c r="C530" s="106">
        <v>1600000000</v>
      </c>
      <c r="D530" s="106"/>
      <c r="E530" s="105" t="s">
        <v>111</v>
      </c>
      <c r="F530" s="21">
        <f t="shared" si="198"/>
        <v>2221.4</v>
      </c>
      <c r="G530" s="21">
        <f t="shared" si="198"/>
        <v>2221.4</v>
      </c>
    </row>
    <row r="531" spans="1:7" ht="47.25">
      <c r="A531" s="106" t="s">
        <v>33</v>
      </c>
      <c r="B531" s="106" t="s">
        <v>4</v>
      </c>
      <c r="C531" s="106">
        <v>1620000000</v>
      </c>
      <c r="D531" s="106"/>
      <c r="E531" s="105" t="s">
        <v>104</v>
      </c>
      <c r="F531" s="21">
        <f t="shared" si="198"/>
        <v>2221.4</v>
      </c>
      <c r="G531" s="21">
        <f t="shared" si="198"/>
        <v>2221.4</v>
      </c>
    </row>
    <row r="532" spans="1:7" ht="12.75">
      <c r="A532" s="106" t="s">
        <v>33</v>
      </c>
      <c r="B532" s="106" t="s">
        <v>4</v>
      </c>
      <c r="C532" s="106">
        <v>1620100000</v>
      </c>
      <c r="D532" s="106"/>
      <c r="E532" s="105" t="s">
        <v>105</v>
      </c>
      <c r="F532" s="21">
        <f t="shared" si="198"/>
        <v>2221.4</v>
      </c>
      <c r="G532" s="21">
        <f t="shared" si="198"/>
        <v>2221.4</v>
      </c>
    </row>
    <row r="533" spans="1:7" ht="63">
      <c r="A533" s="106" t="s">
        <v>33</v>
      </c>
      <c r="B533" s="106" t="s">
        <v>4</v>
      </c>
      <c r="C533" s="106">
        <v>1620120230</v>
      </c>
      <c r="D533" s="106"/>
      <c r="E533" s="105" t="s">
        <v>110</v>
      </c>
      <c r="F533" s="21">
        <f t="shared" si="198"/>
        <v>2221.4</v>
      </c>
      <c r="G533" s="21">
        <f t="shared" si="198"/>
        <v>2221.4</v>
      </c>
    </row>
    <row r="534" spans="1:7" ht="31.5">
      <c r="A534" s="106" t="s">
        <v>33</v>
      </c>
      <c r="B534" s="106" t="s">
        <v>4</v>
      </c>
      <c r="C534" s="106">
        <v>1620120230</v>
      </c>
      <c r="D534" s="106" t="s">
        <v>69</v>
      </c>
      <c r="E534" s="105" t="s">
        <v>92</v>
      </c>
      <c r="F534" s="21">
        <f t="shared" si="198"/>
        <v>2221.4</v>
      </c>
      <c r="G534" s="21">
        <f t="shared" si="198"/>
        <v>2221.4</v>
      </c>
    </row>
    <row r="535" spans="1:7" ht="31.5">
      <c r="A535" s="106" t="s">
        <v>33</v>
      </c>
      <c r="B535" s="106" t="s">
        <v>4</v>
      </c>
      <c r="C535" s="106">
        <v>1620120230</v>
      </c>
      <c r="D535" s="104">
        <v>240</v>
      </c>
      <c r="E535" s="105" t="s">
        <v>245</v>
      </c>
      <c r="F535" s="21">
        <f>2221.4-1281.4+1281.4</f>
        <v>2221.4</v>
      </c>
      <c r="G535" s="21">
        <v>2221.4</v>
      </c>
    </row>
    <row r="536" spans="1:7" ht="12.75">
      <c r="A536" s="106" t="s">
        <v>33</v>
      </c>
      <c r="B536" s="106" t="s">
        <v>39</v>
      </c>
      <c r="C536" s="106" t="s">
        <v>66</v>
      </c>
      <c r="D536" s="106" t="s">
        <v>66</v>
      </c>
      <c r="E536" s="105" t="s">
        <v>31</v>
      </c>
      <c r="F536" s="21">
        <f>F537</f>
        <v>4893.9</v>
      </c>
      <c r="G536" s="21">
        <f aca="true" t="shared" si="199" ref="G536">G537</f>
        <v>978.8</v>
      </c>
    </row>
    <row r="537" spans="1:7" ht="12.75">
      <c r="A537" s="106" t="s">
        <v>33</v>
      </c>
      <c r="B537" s="106" t="s">
        <v>84</v>
      </c>
      <c r="C537" s="106" t="s">
        <v>66</v>
      </c>
      <c r="D537" s="106" t="s">
        <v>66</v>
      </c>
      <c r="E537" s="105" t="s">
        <v>85</v>
      </c>
      <c r="F537" s="21">
        <f aca="true" t="shared" si="200" ref="F537:G539">F538</f>
        <v>4893.9</v>
      </c>
      <c r="G537" s="21">
        <f t="shared" si="200"/>
        <v>978.8</v>
      </c>
    </row>
    <row r="538" spans="1:7" ht="63">
      <c r="A538" s="106" t="s">
        <v>33</v>
      </c>
      <c r="B538" s="106" t="s">
        <v>84</v>
      </c>
      <c r="C538" s="106">
        <v>1600000000</v>
      </c>
      <c r="D538" s="106"/>
      <c r="E538" s="105" t="s">
        <v>111</v>
      </c>
      <c r="F538" s="21">
        <f t="shared" si="200"/>
        <v>4893.9</v>
      </c>
      <c r="G538" s="21">
        <f t="shared" si="200"/>
        <v>978.8</v>
      </c>
    </row>
    <row r="539" spans="1:7" ht="47.25">
      <c r="A539" s="106" t="s">
        <v>33</v>
      </c>
      <c r="B539" s="106" t="s">
        <v>84</v>
      </c>
      <c r="C539" s="106">
        <v>1620000000</v>
      </c>
      <c r="D539" s="106"/>
      <c r="E539" s="105" t="s">
        <v>104</v>
      </c>
      <c r="F539" s="21">
        <f t="shared" si="200"/>
        <v>4893.9</v>
      </c>
      <c r="G539" s="21">
        <f t="shared" si="200"/>
        <v>978.8</v>
      </c>
    </row>
    <row r="540" spans="1:7" ht="31.5">
      <c r="A540" s="106" t="s">
        <v>33</v>
      </c>
      <c r="B540" s="106" t="s">
        <v>84</v>
      </c>
      <c r="C540" s="106">
        <v>1620200000</v>
      </c>
      <c r="D540" s="106"/>
      <c r="E540" s="105" t="s">
        <v>109</v>
      </c>
      <c r="F540" s="21">
        <f>F541+F544</f>
        <v>4893.9</v>
      </c>
      <c r="G540" s="21">
        <f aca="true" t="shared" si="201" ref="G540">G541+G544</f>
        <v>978.8</v>
      </c>
    </row>
    <row r="541" spans="1:7" ht="78.75">
      <c r="A541" s="106" t="s">
        <v>33</v>
      </c>
      <c r="B541" s="106" t="s">
        <v>84</v>
      </c>
      <c r="C541" s="106">
        <v>1620210820</v>
      </c>
      <c r="D541" s="106"/>
      <c r="E541" s="105" t="s">
        <v>240</v>
      </c>
      <c r="F541" s="21">
        <f>F542</f>
        <v>1957.6</v>
      </c>
      <c r="G541" s="21">
        <f aca="true" t="shared" si="202" ref="G541:G542">G542</f>
        <v>0</v>
      </c>
    </row>
    <row r="542" spans="1:7" ht="47.25">
      <c r="A542" s="106" t="s">
        <v>33</v>
      </c>
      <c r="B542" s="106" t="s">
        <v>84</v>
      </c>
      <c r="C542" s="106">
        <v>1620210820</v>
      </c>
      <c r="D542" s="106" t="s">
        <v>72</v>
      </c>
      <c r="E542" s="105" t="s">
        <v>93</v>
      </c>
      <c r="F542" s="21">
        <f>F543</f>
        <v>1957.6</v>
      </c>
      <c r="G542" s="21">
        <f t="shared" si="202"/>
        <v>0</v>
      </c>
    </row>
    <row r="543" spans="1:7" ht="12.75">
      <c r="A543" s="106" t="s">
        <v>33</v>
      </c>
      <c r="B543" s="106" t="s">
        <v>84</v>
      </c>
      <c r="C543" s="106">
        <v>1620210820</v>
      </c>
      <c r="D543" s="106" t="s">
        <v>117</v>
      </c>
      <c r="E543" s="105" t="s">
        <v>118</v>
      </c>
      <c r="F543" s="21">
        <v>1957.6</v>
      </c>
      <c r="G543" s="21">
        <v>0</v>
      </c>
    </row>
    <row r="544" spans="1:7" ht="63">
      <c r="A544" s="106" t="s">
        <v>33</v>
      </c>
      <c r="B544" s="106" t="s">
        <v>84</v>
      </c>
      <c r="C544" s="106" t="s">
        <v>263</v>
      </c>
      <c r="D544" s="106"/>
      <c r="E544" s="54" t="s">
        <v>264</v>
      </c>
      <c r="F544" s="21">
        <f>F545</f>
        <v>2936.3</v>
      </c>
      <c r="G544" s="21">
        <f aca="true" t="shared" si="203" ref="G544:G545">G545</f>
        <v>978.8</v>
      </c>
    </row>
    <row r="545" spans="1:7" ht="47.25">
      <c r="A545" s="106" t="s">
        <v>33</v>
      </c>
      <c r="B545" s="106" t="s">
        <v>84</v>
      </c>
      <c r="C545" s="106" t="s">
        <v>263</v>
      </c>
      <c r="D545" s="106" t="s">
        <v>72</v>
      </c>
      <c r="E545" s="54" t="s">
        <v>93</v>
      </c>
      <c r="F545" s="21">
        <f>F546</f>
        <v>2936.3</v>
      </c>
      <c r="G545" s="21">
        <f t="shared" si="203"/>
        <v>978.8</v>
      </c>
    </row>
    <row r="546" spans="1:7" ht="12.75">
      <c r="A546" s="106" t="s">
        <v>33</v>
      </c>
      <c r="B546" s="106" t="s">
        <v>84</v>
      </c>
      <c r="C546" s="106" t="s">
        <v>263</v>
      </c>
      <c r="D546" s="106" t="s">
        <v>117</v>
      </c>
      <c r="E546" s="54" t="s">
        <v>118</v>
      </c>
      <c r="F546" s="21">
        <v>2936.3</v>
      </c>
      <c r="G546" s="21">
        <v>978.8</v>
      </c>
    </row>
    <row r="547" spans="1:7" ht="12.75">
      <c r="A547" s="16" t="s">
        <v>14</v>
      </c>
      <c r="B547" s="24" t="s">
        <v>66</v>
      </c>
      <c r="C547" s="24" t="s">
        <v>66</v>
      </c>
      <c r="D547" s="24" t="s">
        <v>66</v>
      </c>
      <c r="E547" s="44" t="s">
        <v>2</v>
      </c>
      <c r="F547" s="26">
        <f aca="true" t="shared" si="204" ref="F547:F552">F548</f>
        <v>2765.5</v>
      </c>
      <c r="G547" s="26">
        <f aca="true" t="shared" si="205" ref="G547:G552">G548</f>
        <v>2755.4</v>
      </c>
    </row>
    <row r="548" spans="1:7" ht="12.75">
      <c r="A548" s="104" t="s">
        <v>14</v>
      </c>
      <c r="B548" s="104" t="s">
        <v>54</v>
      </c>
      <c r="C548" s="104" t="s">
        <v>66</v>
      </c>
      <c r="D548" s="104" t="s">
        <v>66</v>
      </c>
      <c r="E548" s="45" t="s">
        <v>20</v>
      </c>
      <c r="F548" s="21">
        <f t="shared" si="204"/>
        <v>2765.5</v>
      </c>
      <c r="G548" s="21">
        <f t="shared" si="205"/>
        <v>2755.4</v>
      </c>
    </row>
    <row r="549" spans="1:7" ht="47.25">
      <c r="A549" s="104" t="s">
        <v>14</v>
      </c>
      <c r="B549" s="104" t="s">
        <v>44</v>
      </c>
      <c r="C549" s="104" t="s">
        <v>66</v>
      </c>
      <c r="D549" s="104" t="s">
        <v>66</v>
      </c>
      <c r="E549" s="105" t="s">
        <v>21</v>
      </c>
      <c r="F549" s="21">
        <f t="shared" si="204"/>
        <v>2765.5</v>
      </c>
      <c r="G549" s="21">
        <f t="shared" si="205"/>
        <v>2755.4</v>
      </c>
    </row>
    <row r="550" spans="1:7" ht="12.75">
      <c r="A550" s="104" t="s">
        <v>14</v>
      </c>
      <c r="B550" s="104" t="s">
        <v>44</v>
      </c>
      <c r="C550" s="106" t="s">
        <v>107</v>
      </c>
      <c r="D550" s="106" t="s">
        <v>66</v>
      </c>
      <c r="E550" s="105" t="s">
        <v>102</v>
      </c>
      <c r="F550" s="21">
        <f t="shared" si="204"/>
        <v>2765.5</v>
      </c>
      <c r="G550" s="21">
        <f t="shared" si="205"/>
        <v>2755.4</v>
      </c>
    </row>
    <row r="551" spans="1:7" ht="47.25">
      <c r="A551" s="104" t="s">
        <v>14</v>
      </c>
      <c r="B551" s="104" t="s">
        <v>44</v>
      </c>
      <c r="C551" s="104">
        <v>9990000000</v>
      </c>
      <c r="D551" s="104"/>
      <c r="E551" s="105" t="s">
        <v>155</v>
      </c>
      <c r="F551" s="21">
        <f t="shared" si="204"/>
        <v>2765.5</v>
      </c>
      <c r="G551" s="21">
        <f t="shared" si="205"/>
        <v>2755.4</v>
      </c>
    </row>
    <row r="552" spans="1:7" ht="31.5">
      <c r="A552" s="104" t="s">
        <v>14</v>
      </c>
      <c r="B552" s="104" t="s">
        <v>44</v>
      </c>
      <c r="C552" s="104">
        <v>9990100000</v>
      </c>
      <c r="D552" s="104"/>
      <c r="E552" s="105" t="s">
        <v>173</v>
      </c>
      <c r="F552" s="21">
        <f t="shared" si="204"/>
        <v>2765.5</v>
      </c>
      <c r="G552" s="21">
        <f t="shared" si="205"/>
        <v>2755.4</v>
      </c>
    </row>
    <row r="553" spans="1:7" ht="31.5">
      <c r="A553" s="104" t="s">
        <v>14</v>
      </c>
      <c r="B553" s="104" t="s">
        <v>44</v>
      </c>
      <c r="C553" s="104">
        <v>9990123000</v>
      </c>
      <c r="D553" s="104"/>
      <c r="E553" s="105" t="s">
        <v>174</v>
      </c>
      <c r="F553" s="21">
        <f>F554+F556</f>
        <v>2765.5</v>
      </c>
      <c r="G553" s="21">
        <f aca="true" t="shared" si="206" ref="G553">G554+G556</f>
        <v>2755.4</v>
      </c>
    </row>
    <row r="554" spans="1:7" ht="78.75">
      <c r="A554" s="104" t="s">
        <v>14</v>
      </c>
      <c r="B554" s="104" t="s">
        <v>44</v>
      </c>
      <c r="C554" s="104">
        <v>9990123000</v>
      </c>
      <c r="D554" s="104" t="s">
        <v>68</v>
      </c>
      <c r="E554" s="105" t="s">
        <v>1</v>
      </c>
      <c r="F554" s="21">
        <f>F555</f>
        <v>2299.6</v>
      </c>
      <c r="G554" s="21">
        <f aca="true" t="shared" si="207" ref="G554">G555</f>
        <v>2299.6</v>
      </c>
    </row>
    <row r="555" spans="1:7" ht="31.5">
      <c r="A555" s="104" t="s">
        <v>14</v>
      </c>
      <c r="B555" s="104" t="s">
        <v>44</v>
      </c>
      <c r="C555" s="104">
        <v>9990123000</v>
      </c>
      <c r="D555" s="104">
        <v>120</v>
      </c>
      <c r="E555" s="105" t="s">
        <v>246</v>
      </c>
      <c r="F555" s="21">
        <f>2623-323.4</f>
        <v>2299.6</v>
      </c>
      <c r="G555" s="21">
        <v>2299.6</v>
      </c>
    </row>
    <row r="556" spans="1:7" ht="31.5">
      <c r="A556" s="104" t="s">
        <v>14</v>
      </c>
      <c r="B556" s="104" t="s">
        <v>44</v>
      </c>
      <c r="C556" s="104">
        <v>9990123000</v>
      </c>
      <c r="D556" s="106" t="s">
        <v>69</v>
      </c>
      <c r="E556" s="105" t="s">
        <v>92</v>
      </c>
      <c r="F556" s="21">
        <f>F557</f>
        <v>465.9</v>
      </c>
      <c r="G556" s="21">
        <f aca="true" t="shared" si="208" ref="G556">G557</f>
        <v>455.8</v>
      </c>
    </row>
    <row r="557" spans="1:7" ht="31.5">
      <c r="A557" s="104" t="s">
        <v>14</v>
      </c>
      <c r="B557" s="104" t="s">
        <v>44</v>
      </c>
      <c r="C557" s="104">
        <v>9990123000</v>
      </c>
      <c r="D557" s="104">
        <v>240</v>
      </c>
      <c r="E557" s="105" t="s">
        <v>245</v>
      </c>
      <c r="F557" s="21">
        <v>465.9</v>
      </c>
      <c r="G557" s="21">
        <v>455.8</v>
      </c>
    </row>
    <row r="558" spans="1:7" ht="31.5">
      <c r="A558" s="16" t="s">
        <v>9</v>
      </c>
      <c r="B558" s="24" t="s">
        <v>66</v>
      </c>
      <c r="C558" s="24" t="s">
        <v>66</v>
      </c>
      <c r="D558" s="24" t="s">
        <v>66</v>
      </c>
      <c r="E558" s="40" t="s">
        <v>336</v>
      </c>
      <c r="F558" s="26">
        <f>F559+F701</f>
        <v>584250.5999999999</v>
      </c>
      <c r="G558" s="26">
        <f>G559+G701</f>
        <v>579645.4999999999</v>
      </c>
    </row>
    <row r="559" spans="1:7" ht="12.75">
      <c r="A559" s="104" t="s">
        <v>9</v>
      </c>
      <c r="B559" s="104" t="s">
        <v>37</v>
      </c>
      <c r="C559" s="104" t="s">
        <v>66</v>
      </c>
      <c r="D559" s="104" t="s">
        <v>66</v>
      </c>
      <c r="E559" s="105" t="s">
        <v>29</v>
      </c>
      <c r="F559" s="21">
        <f>F560+F594+F655+F668+F680</f>
        <v>574564.7999999998</v>
      </c>
      <c r="G559" s="21">
        <f>G560+G594+G655+G668+G680</f>
        <v>571596.3999999999</v>
      </c>
    </row>
    <row r="560" spans="1:7" ht="12.75">
      <c r="A560" s="104" t="s">
        <v>9</v>
      </c>
      <c r="B560" s="104" t="s">
        <v>50</v>
      </c>
      <c r="C560" s="104" t="s">
        <v>66</v>
      </c>
      <c r="D560" s="104" t="s">
        <v>66</v>
      </c>
      <c r="E560" s="105" t="s">
        <v>10</v>
      </c>
      <c r="F560" s="21">
        <f>F561+F580</f>
        <v>237606.5</v>
      </c>
      <c r="G560" s="21">
        <f>G561+G580</f>
        <v>237597.4</v>
      </c>
    </row>
    <row r="561" spans="1:7" ht="47.25">
      <c r="A561" s="104" t="s">
        <v>9</v>
      </c>
      <c r="B561" s="104" t="s">
        <v>50</v>
      </c>
      <c r="C561" s="106">
        <v>1100000000</v>
      </c>
      <c r="D561" s="104"/>
      <c r="E561" s="105" t="s">
        <v>192</v>
      </c>
      <c r="F561" s="21">
        <f>F562</f>
        <v>232676.4</v>
      </c>
      <c r="G561" s="21">
        <f aca="true" t="shared" si="209" ref="G561">G562</f>
        <v>232667.4</v>
      </c>
    </row>
    <row r="562" spans="1:7" ht="12.75">
      <c r="A562" s="104" t="s">
        <v>9</v>
      </c>
      <c r="B562" s="104" t="s">
        <v>50</v>
      </c>
      <c r="C562" s="104">
        <v>1110000000</v>
      </c>
      <c r="D562" s="104"/>
      <c r="E562" s="105" t="s">
        <v>175</v>
      </c>
      <c r="F562" s="21">
        <f>F563+F570</f>
        <v>232676.4</v>
      </c>
      <c r="G562" s="21">
        <f aca="true" t="shared" si="210" ref="G562">G563+G570</f>
        <v>232667.4</v>
      </c>
    </row>
    <row r="563" spans="1:7" ht="63">
      <c r="A563" s="104" t="s">
        <v>9</v>
      </c>
      <c r="B563" s="104" t="s">
        <v>50</v>
      </c>
      <c r="C563" s="104">
        <v>1110100000</v>
      </c>
      <c r="D563" s="24"/>
      <c r="E563" s="105" t="s">
        <v>176</v>
      </c>
      <c r="F563" s="21">
        <f>F567+F564</f>
        <v>225267</v>
      </c>
      <c r="G563" s="21">
        <f aca="true" t="shared" si="211" ref="G563">G567+G564</f>
        <v>225267</v>
      </c>
    </row>
    <row r="564" spans="1:7" ht="63">
      <c r="A564" s="2" t="s">
        <v>9</v>
      </c>
      <c r="B564" s="2" t="s">
        <v>50</v>
      </c>
      <c r="C564" s="10" t="s">
        <v>178</v>
      </c>
      <c r="D564" s="11"/>
      <c r="E564" s="42" t="s">
        <v>100</v>
      </c>
      <c r="F564" s="21">
        <f>F565</f>
        <v>125685.1</v>
      </c>
      <c r="G564" s="21">
        <f aca="true" t="shared" si="212" ref="G564:G565">G565</f>
        <v>125685.1</v>
      </c>
    </row>
    <row r="565" spans="1:7" ht="31.5">
      <c r="A565" s="2" t="s">
        <v>9</v>
      </c>
      <c r="B565" s="2" t="s">
        <v>50</v>
      </c>
      <c r="C565" s="10" t="s">
        <v>178</v>
      </c>
      <c r="D565" s="106" t="s">
        <v>94</v>
      </c>
      <c r="E565" s="105" t="s">
        <v>95</v>
      </c>
      <c r="F565" s="21">
        <f>F566</f>
        <v>125685.1</v>
      </c>
      <c r="G565" s="21">
        <f t="shared" si="212"/>
        <v>125685.1</v>
      </c>
    </row>
    <row r="566" spans="1:7" ht="12.75">
      <c r="A566" s="104" t="s">
        <v>9</v>
      </c>
      <c r="B566" s="2" t="s">
        <v>50</v>
      </c>
      <c r="C566" s="10" t="s">
        <v>178</v>
      </c>
      <c r="D566" s="104">
        <v>610</v>
      </c>
      <c r="E566" s="105" t="s">
        <v>101</v>
      </c>
      <c r="F566" s="21">
        <f>108604.6+3683.4+13397.1</f>
        <v>125685.1</v>
      </c>
      <c r="G566" s="21">
        <v>125685.1</v>
      </c>
    </row>
    <row r="567" spans="1:7" ht="31.5">
      <c r="A567" s="2" t="s">
        <v>9</v>
      </c>
      <c r="B567" s="2" t="s">
        <v>50</v>
      </c>
      <c r="C567" s="10" t="s">
        <v>177</v>
      </c>
      <c r="D567" s="10"/>
      <c r="E567" s="42" t="s">
        <v>121</v>
      </c>
      <c r="F567" s="21">
        <f>F568</f>
        <v>99581.9</v>
      </c>
      <c r="G567" s="21">
        <f aca="true" t="shared" si="213" ref="G567:G568">G568</f>
        <v>99581.9</v>
      </c>
    </row>
    <row r="568" spans="1:7" ht="31.5">
      <c r="A568" s="2" t="s">
        <v>9</v>
      </c>
      <c r="B568" s="2" t="s">
        <v>50</v>
      </c>
      <c r="C568" s="10" t="s">
        <v>177</v>
      </c>
      <c r="D568" s="106" t="s">
        <v>94</v>
      </c>
      <c r="E568" s="105" t="s">
        <v>95</v>
      </c>
      <c r="F568" s="21">
        <f>F569</f>
        <v>99581.9</v>
      </c>
      <c r="G568" s="21">
        <f t="shared" si="213"/>
        <v>99581.9</v>
      </c>
    </row>
    <row r="569" spans="1:7" ht="12.75">
      <c r="A569" s="104" t="s">
        <v>9</v>
      </c>
      <c r="B569" s="2" t="s">
        <v>50</v>
      </c>
      <c r="C569" s="10" t="s">
        <v>177</v>
      </c>
      <c r="D569" s="104">
        <v>610</v>
      </c>
      <c r="E569" s="105" t="s">
        <v>101</v>
      </c>
      <c r="F569" s="21">
        <f>98859.1-342.5-918.6+1983.9</f>
        <v>99581.9</v>
      </c>
      <c r="G569" s="21">
        <v>99581.9</v>
      </c>
    </row>
    <row r="570" spans="1:7" ht="78.75">
      <c r="A570" s="2" t="s">
        <v>9</v>
      </c>
      <c r="B570" s="2" t="s">
        <v>50</v>
      </c>
      <c r="C570" s="104">
        <v>1110700000</v>
      </c>
      <c r="D570" s="104"/>
      <c r="E570" s="54" t="s">
        <v>298</v>
      </c>
      <c r="F570" s="21">
        <f>F577+F571+F574</f>
        <v>7409.399999999999</v>
      </c>
      <c r="G570" s="21">
        <f aca="true" t="shared" si="214" ref="G570">G577+G571+G574</f>
        <v>7400.4</v>
      </c>
    </row>
    <row r="571" spans="1:7" ht="47.25">
      <c r="A571" s="2" t="s">
        <v>9</v>
      </c>
      <c r="B571" s="112" t="s">
        <v>50</v>
      </c>
      <c r="C571" s="93" t="s">
        <v>328</v>
      </c>
      <c r="D571" s="94"/>
      <c r="E571" s="95" t="s">
        <v>329</v>
      </c>
      <c r="F571" s="21">
        <f>F572</f>
        <v>5896.099999999999</v>
      </c>
      <c r="G571" s="21">
        <f aca="true" t="shared" si="215" ref="G571:G572">G572</f>
        <v>5888.9</v>
      </c>
    </row>
    <row r="572" spans="1:7" ht="31.5">
      <c r="A572" s="2" t="s">
        <v>9</v>
      </c>
      <c r="B572" s="112" t="s">
        <v>50</v>
      </c>
      <c r="C572" s="93" t="s">
        <v>328</v>
      </c>
      <c r="D572" s="96">
        <v>600</v>
      </c>
      <c r="E572" s="95" t="s">
        <v>95</v>
      </c>
      <c r="F572" s="21">
        <f>F573</f>
        <v>5896.099999999999</v>
      </c>
      <c r="G572" s="21">
        <f t="shared" si="215"/>
        <v>5888.9</v>
      </c>
    </row>
    <row r="573" spans="1:7" ht="12.75">
      <c r="A573" s="2" t="s">
        <v>9</v>
      </c>
      <c r="B573" s="112" t="s">
        <v>50</v>
      </c>
      <c r="C573" s="93" t="s">
        <v>328</v>
      </c>
      <c r="D573" s="94">
        <v>610</v>
      </c>
      <c r="E573" s="95" t="s">
        <v>101</v>
      </c>
      <c r="F573" s="21">
        <f>4416.2-1.8+1481.7</f>
        <v>5896.099999999999</v>
      </c>
      <c r="G573" s="11">
        <v>5888.9</v>
      </c>
    </row>
    <row r="574" spans="1:7" ht="31.5">
      <c r="A574" s="125" t="s">
        <v>9</v>
      </c>
      <c r="B574" s="112" t="s">
        <v>50</v>
      </c>
      <c r="C574" s="10" t="s">
        <v>376</v>
      </c>
      <c r="D574" s="125"/>
      <c r="E574" s="54" t="s">
        <v>366</v>
      </c>
      <c r="F574" s="130">
        <f>F575</f>
        <v>39.2</v>
      </c>
      <c r="G574" s="130">
        <f aca="true" t="shared" si="216" ref="G574:G575">G575</f>
        <v>39.2</v>
      </c>
    </row>
    <row r="575" spans="1:7" ht="31.5">
      <c r="A575" s="125" t="s">
        <v>9</v>
      </c>
      <c r="B575" s="112" t="s">
        <v>50</v>
      </c>
      <c r="C575" s="10" t="s">
        <v>376</v>
      </c>
      <c r="D575" s="127" t="s">
        <v>94</v>
      </c>
      <c r="E575" s="126" t="s">
        <v>95</v>
      </c>
      <c r="F575" s="130">
        <f>F576</f>
        <v>39.2</v>
      </c>
      <c r="G575" s="130">
        <f t="shared" si="216"/>
        <v>39.2</v>
      </c>
    </row>
    <row r="576" spans="1:7" ht="12.75">
      <c r="A576" s="125" t="s">
        <v>9</v>
      </c>
      <c r="B576" s="112" t="s">
        <v>50</v>
      </c>
      <c r="C576" s="10" t="s">
        <v>376</v>
      </c>
      <c r="D576" s="125">
        <v>610</v>
      </c>
      <c r="E576" s="126" t="s">
        <v>101</v>
      </c>
      <c r="F576" s="130">
        <v>39.2</v>
      </c>
      <c r="G576" s="96">
        <v>39.2</v>
      </c>
    </row>
    <row r="577" spans="1:7" ht="47.25">
      <c r="A577" s="2" t="s">
        <v>9</v>
      </c>
      <c r="B577" s="112" t="s">
        <v>50</v>
      </c>
      <c r="C577" s="93" t="s">
        <v>306</v>
      </c>
      <c r="D577" s="94"/>
      <c r="E577" s="95" t="s">
        <v>307</v>
      </c>
      <c r="F577" s="114">
        <f>F578</f>
        <v>1474.1</v>
      </c>
      <c r="G577" s="114">
        <f aca="true" t="shared" si="217" ref="G577:G578">G578</f>
        <v>1472.3</v>
      </c>
    </row>
    <row r="578" spans="1:7" ht="31.5">
      <c r="A578" s="2" t="s">
        <v>9</v>
      </c>
      <c r="B578" s="112" t="s">
        <v>50</v>
      </c>
      <c r="C578" s="93" t="s">
        <v>306</v>
      </c>
      <c r="D578" s="96">
        <v>600</v>
      </c>
      <c r="E578" s="95" t="s">
        <v>95</v>
      </c>
      <c r="F578" s="114">
        <f>F579</f>
        <v>1474.1</v>
      </c>
      <c r="G578" s="114">
        <f t="shared" si="217"/>
        <v>1472.3</v>
      </c>
    </row>
    <row r="579" spans="1:7" ht="12.75">
      <c r="A579" s="2" t="s">
        <v>9</v>
      </c>
      <c r="B579" s="112" t="s">
        <v>50</v>
      </c>
      <c r="C579" s="93" t="s">
        <v>306</v>
      </c>
      <c r="D579" s="94">
        <v>610</v>
      </c>
      <c r="E579" s="95" t="s">
        <v>101</v>
      </c>
      <c r="F579" s="114">
        <f>1104.1+425-55</f>
        <v>1474.1</v>
      </c>
      <c r="G579" s="114">
        <v>1472.3</v>
      </c>
    </row>
    <row r="580" spans="1:7" ht="31.5">
      <c r="A580" s="2" t="s">
        <v>9</v>
      </c>
      <c r="B580" s="112" t="s">
        <v>50</v>
      </c>
      <c r="C580" s="106">
        <v>1500000000</v>
      </c>
      <c r="D580" s="104"/>
      <c r="E580" s="105" t="s">
        <v>188</v>
      </c>
      <c r="F580" s="114">
        <f>F581</f>
        <v>4930.099999999999</v>
      </c>
      <c r="G580" s="114">
        <f aca="true" t="shared" si="218" ref="G580:G592">G581</f>
        <v>4930</v>
      </c>
    </row>
    <row r="581" spans="1:7" ht="31.5">
      <c r="A581" s="2" t="s">
        <v>9</v>
      </c>
      <c r="B581" s="112" t="s">
        <v>50</v>
      </c>
      <c r="C581" s="106">
        <v>1520000000</v>
      </c>
      <c r="D581" s="104"/>
      <c r="E581" s="105" t="s">
        <v>293</v>
      </c>
      <c r="F581" s="114">
        <f>F590+F586+F582</f>
        <v>4930.099999999999</v>
      </c>
      <c r="G581" s="114">
        <f>G590+G586+G582</f>
        <v>4930</v>
      </c>
    </row>
    <row r="582" spans="1:7" ht="78.75">
      <c r="A582" s="2" t="s">
        <v>9</v>
      </c>
      <c r="B582" s="112" t="s">
        <v>50</v>
      </c>
      <c r="C582" s="104">
        <v>1520100000</v>
      </c>
      <c r="D582" s="104"/>
      <c r="E582" s="54" t="s">
        <v>372</v>
      </c>
      <c r="F582" s="114">
        <f>F583</f>
        <v>42</v>
      </c>
      <c r="G582" s="114">
        <f aca="true" t="shared" si="219" ref="G582:G584">G583</f>
        <v>42</v>
      </c>
    </row>
    <row r="583" spans="1:7" ht="31.5">
      <c r="A583" s="2" t="s">
        <v>9</v>
      </c>
      <c r="B583" s="112" t="s">
        <v>50</v>
      </c>
      <c r="C583" s="10" t="s">
        <v>373</v>
      </c>
      <c r="D583" s="104"/>
      <c r="E583" s="54" t="s">
        <v>374</v>
      </c>
      <c r="F583" s="114">
        <f>F584</f>
        <v>42</v>
      </c>
      <c r="G583" s="114">
        <f t="shared" si="219"/>
        <v>42</v>
      </c>
    </row>
    <row r="584" spans="1:7" ht="31.5">
      <c r="A584" s="2" t="s">
        <v>9</v>
      </c>
      <c r="B584" s="112" t="s">
        <v>50</v>
      </c>
      <c r="C584" s="10" t="s">
        <v>373</v>
      </c>
      <c r="D584" s="106" t="s">
        <v>94</v>
      </c>
      <c r="E584" s="54" t="s">
        <v>95</v>
      </c>
      <c r="F584" s="114">
        <f>F585</f>
        <v>42</v>
      </c>
      <c r="G584" s="114">
        <f t="shared" si="219"/>
        <v>42</v>
      </c>
    </row>
    <row r="585" spans="1:7" ht="12.75">
      <c r="A585" s="2" t="s">
        <v>9</v>
      </c>
      <c r="B585" s="112" t="s">
        <v>50</v>
      </c>
      <c r="C585" s="10" t="s">
        <v>373</v>
      </c>
      <c r="D585" s="104">
        <v>610</v>
      </c>
      <c r="E585" s="54" t="s">
        <v>101</v>
      </c>
      <c r="F585" s="114">
        <v>42</v>
      </c>
      <c r="G585" s="114">
        <v>42</v>
      </c>
    </row>
    <row r="586" spans="1:7" ht="47.25">
      <c r="A586" s="2" t="s">
        <v>9</v>
      </c>
      <c r="B586" s="112" t="s">
        <v>50</v>
      </c>
      <c r="C586" s="106">
        <v>1520200000</v>
      </c>
      <c r="D586" s="104"/>
      <c r="E586" s="105" t="s">
        <v>375</v>
      </c>
      <c r="F586" s="114">
        <f>F587</f>
        <v>187.7</v>
      </c>
      <c r="G586" s="114">
        <f aca="true" t="shared" si="220" ref="G586:G588">G587</f>
        <v>187.6</v>
      </c>
    </row>
    <row r="587" spans="1:7" ht="12.75">
      <c r="A587" s="2" t="s">
        <v>9</v>
      </c>
      <c r="B587" s="2" t="s">
        <v>50</v>
      </c>
      <c r="C587" s="139">
        <v>1520220190</v>
      </c>
      <c r="D587" s="139"/>
      <c r="E587" s="138" t="s">
        <v>394</v>
      </c>
      <c r="F587" s="114">
        <f>F588</f>
        <v>187.7</v>
      </c>
      <c r="G587" s="114">
        <f t="shared" si="220"/>
        <v>187.6</v>
      </c>
    </row>
    <row r="588" spans="1:7" ht="31.5">
      <c r="A588" s="2" t="s">
        <v>9</v>
      </c>
      <c r="B588" s="2" t="s">
        <v>50</v>
      </c>
      <c r="C588" s="139">
        <v>1520220190</v>
      </c>
      <c r="D588" s="139" t="s">
        <v>94</v>
      </c>
      <c r="E588" s="138" t="s">
        <v>95</v>
      </c>
      <c r="F588" s="114">
        <f>F589</f>
        <v>187.7</v>
      </c>
      <c r="G588" s="114">
        <f t="shared" si="220"/>
        <v>187.6</v>
      </c>
    </row>
    <row r="589" spans="1:7" ht="12.75">
      <c r="A589" s="2" t="s">
        <v>9</v>
      </c>
      <c r="B589" s="2" t="s">
        <v>50</v>
      </c>
      <c r="C589" s="139">
        <v>1520220190</v>
      </c>
      <c r="D589" s="139">
        <v>610</v>
      </c>
      <c r="E589" s="138" t="s">
        <v>101</v>
      </c>
      <c r="F589" s="114">
        <f>89.7+98</f>
        <v>187.7</v>
      </c>
      <c r="G589" s="114">
        <v>187.6</v>
      </c>
    </row>
    <row r="590" spans="1:7" ht="47.25">
      <c r="A590" s="2" t="s">
        <v>9</v>
      </c>
      <c r="B590" s="112" t="s">
        <v>50</v>
      </c>
      <c r="C590" s="106">
        <v>1520300000</v>
      </c>
      <c r="D590" s="104"/>
      <c r="E590" s="105" t="s">
        <v>346</v>
      </c>
      <c r="F590" s="114">
        <f>F591</f>
        <v>4700.4</v>
      </c>
      <c r="G590" s="114">
        <f t="shared" si="218"/>
        <v>4700.4</v>
      </c>
    </row>
    <row r="591" spans="1:7" ht="12.75">
      <c r="A591" s="2" t="s">
        <v>9</v>
      </c>
      <c r="B591" s="112" t="s">
        <v>50</v>
      </c>
      <c r="C591" s="106">
        <v>1520320200</v>
      </c>
      <c r="D591" s="104"/>
      <c r="E591" s="54" t="s">
        <v>347</v>
      </c>
      <c r="F591" s="114">
        <f>F592</f>
        <v>4700.4</v>
      </c>
      <c r="G591" s="114">
        <f t="shared" si="218"/>
        <v>4700.4</v>
      </c>
    </row>
    <row r="592" spans="1:7" ht="31.5">
      <c r="A592" s="2" t="s">
        <v>9</v>
      </c>
      <c r="B592" s="112" t="s">
        <v>50</v>
      </c>
      <c r="C592" s="106">
        <v>1520320200</v>
      </c>
      <c r="D592" s="106" t="s">
        <v>94</v>
      </c>
      <c r="E592" s="54" t="s">
        <v>95</v>
      </c>
      <c r="F592" s="114">
        <f>F593</f>
        <v>4700.4</v>
      </c>
      <c r="G592" s="114">
        <f t="shared" si="218"/>
        <v>4700.4</v>
      </c>
    </row>
    <row r="593" spans="1:7" ht="12.75">
      <c r="A593" s="2" t="s">
        <v>9</v>
      </c>
      <c r="B593" s="112" t="s">
        <v>50</v>
      </c>
      <c r="C593" s="106">
        <v>1520320200</v>
      </c>
      <c r="D593" s="104">
        <v>610</v>
      </c>
      <c r="E593" s="54" t="s">
        <v>101</v>
      </c>
      <c r="F593" s="114">
        <f>5010.2-42-267.8</f>
        <v>4700.4</v>
      </c>
      <c r="G593" s="114">
        <v>4700.4</v>
      </c>
    </row>
    <row r="594" spans="1:7" ht="12.75">
      <c r="A594" s="104" t="s">
        <v>9</v>
      </c>
      <c r="B594" s="104" t="s">
        <v>51</v>
      </c>
      <c r="C594" s="104" t="s">
        <v>66</v>
      </c>
      <c r="D594" s="104" t="s">
        <v>66</v>
      </c>
      <c r="E594" s="105" t="s">
        <v>11</v>
      </c>
      <c r="F594" s="21">
        <f>F595+F640+F650</f>
        <v>314463.39999999997</v>
      </c>
      <c r="G594" s="21">
        <f>G595+G640+G650</f>
        <v>311617.3</v>
      </c>
    </row>
    <row r="595" spans="1:7" ht="47.25">
      <c r="A595" s="104" t="s">
        <v>9</v>
      </c>
      <c r="B595" s="104" t="s">
        <v>51</v>
      </c>
      <c r="C595" s="106">
        <v>1100000000</v>
      </c>
      <c r="D595" s="104"/>
      <c r="E595" s="105" t="s">
        <v>192</v>
      </c>
      <c r="F595" s="21">
        <f>F596+F632+F627</f>
        <v>308267.8</v>
      </c>
      <c r="G595" s="21">
        <f>G596+G632+G627</f>
        <v>305421.7</v>
      </c>
    </row>
    <row r="596" spans="1:7" ht="12.75">
      <c r="A596" s="104" t="s">
        <v>9</v>
      </c>
      <c r="B596" s="104" t="s">
        <v>51</v>
      </c>
      <c r="C596" s="104">
        <v>1110000000</v>
      </c>
      <c r="D596" s="104"/>
      <c r="E596" s="105" t="s">
        <v>239</v>
      </c>
      <c r="F596" s="21">
        <f>F597+F604+F615+F619+F623+F608</f>
        <v>307578.3</v>
      </c>
      <c r="G596" s="21">
        <f>G597+G604+G615+G619+G623+G608</f>
        <v>304732.2</v>
      </c>
    </row>
    <row r="597" spans="1:7" ht="63">
      <c r="A597" s="104" t="s">
        <v>9</v>
      </c>
      <c r="B597" s="104" t="s">
        <v>51</v>
      </c>
      <c r="C597" s="104">
        <v>1110100000</v>
      </c>
      <c r="D597" s="24"/>
      <c r="E597" s="105" t="s">
        <v>176</v>
      </c>
      <c r="F597" s="21">
        <f>F601+F598</f>
        <v>254089</v>
      </c>
      <c r="G597" s="21">
        <f aca="true" t="shared" si="221" ref="G597">G601+G598</f>
        <v>254089</v>
      </c>
    </row>
    <row r="598" spans="1:7" ht="110.25">
      <c r="A598" s="104" t="s">
        <v>9</v>
      </c>
      <c r="B598" s="104" t="s">
        <v>51</v>
      </c>
      <c r="C598" s="104">
        <v>1110110750</v>
      </c>
      <c r="D598" s="104"/>
      <c r="E598" s="105" t="s">
        <v>179</v>
      </c>
      <c r="F598" s="21">
        <f>F599</f>
        <v>213664.69999999998</v>
      </c>
      <c r="G598" s="21">
        <f aca="true" t="shared" si="222" ref="G598:G599">G599</f>
        <v>213664.7</v>
      </c>
    </row>
    <row r="599" spans="1:7" ht="31.5">
      <c r="A599" s="104" t="s">
        <v>9</v>
      </c>
      <c r="B599" s="104" t="s">
        <v>51</v>
      </c>
      <c r="C599" s="104">
        <v>1110110750</v>
      </c>
      <c r="D599" s="106" t="s">
        <v>94</v>
      </c>
      <c r="E599" s="105" t="s">
        <v>95</v>
      </c>
      <c r="F599" s="21">
        <f>F600</f>
        <v>213664.69999999998</v>
      </c>
      <c r="G599" s="21">
        <f t="shared" si="222"/>
        <v>213664.7</v>
      </c>
    </row>
    <row r="600" spans="1:7" ht="12.75">
      <c r="A600" s="104" t="s">
        <v>9</v>
      </c>
      <c r="B600" s="104" t="s">
        <v>51</v>
      </c>
      <c r="C600" s="104">
        <v>1110110750</v>
      </c>
      <c r="D600" s="104">
        <v>610</v>
      </c>
      <c r="E600" s="105" t="s">
        <v>101</v>
      </c>
      <c r="F600" s="21">
        <f>208042.3+5622.4</f>
        <v>213664.69999999998</v>
      </c>
      <c r="G600" s="21">
        <v>213664.7</v>
      </c>
    </row>
    <row r="601" spans="1:7" ht="31.5">
      <c r="A601" s="104" t="s">
        <v>9</v>
      </c>
      <c r="B601" s="104" t="s">
        <v>51</v>
      </c>
      <c r="C601" s="10" t="s">
        <v>177</v>
      </c>
      <c r="D601" s="10"/>
      <c r="E601" s="42" t="s">
        <v>121</v>
      </c>
      <c r="F601" s="21">
        <f>F602</f>
        <v>40424.3</v>
      </c>
      <c r="G601" s="21">
        <f aca="true" t="shared" si="223" ref="G601:G602">G602</f>
        <v>40424.3</v>
      </c>
    </row>
    <row r="602" spans="1:7" ht="31.5">
      <c r="A602" s="104" t="s">
        <v>9</v>
      </c>
      <c r="B602" s="104" t="s">
        <v>51</v>
      </c>
      <c r="C602" s="10" t="s">
        <v>177</v>
      </c>
      <c r="D602" s="106" t="s">
        <v>94</v>
      </c>
      <c r="E602" s="105" t="s">
        <v>95</v>
      </c>
      <c r="F602" s="21">
        <f>F603</f>
        <v>40424.3</v>
      </c>
      <c r="G602" s="21">
        <f t="shared" si="223"/>
        <v>40424.3</v>
      </c>
    </row>
    <row r="603" spans="1:7" ht="12.75">
      <c r="A603" s="104" t="s">
        <v>9</v>
      </c>
      <c r="B603" s="104" t="s">
        <v>51</v>
      </c>
      <c r="C603" s="10" t="s">
        <v>177</v>
      </c>
      <c r="D603" s="104">
        <v>610</v>
      </c>
      <c r="E603" s="105" t="s">
        <v>101</v>
      </c>
      <c r="F603" s="21">
        <f>40713.6-406.7-242+287.1+72.3</f>
        <v>40424.3</v>
      </c>
      <c r="G603" s="21">
        <v>40424.3</v>
      </c>
    </row>
    <row r="604" spans="1:7" ht="31.5">
      <c r="A604" s="104" t="s">
        <v>9</v>
      </c>
      <c r="B604" s="104" t="s">
        <v>51</v>
      </c>
      <c r="C604" s="104">
        <v>1110300000</v>
      </c>
      <c r="D604" s="104"/>
      <c r="E604" s="105" t="s">
        <v>180</v>
      </c>
      <c r="F604" s="21">
        <f>F605</f>
        <v>22884.300000000003</v>
      </c>
      <c r="G604" s="21">
        <f aca="true" t="shared" si="224" ref="G604">G605</f>
        <v>20294.2</v>
      </c>
    </row>
    <row r="605" spans="1:7" ht="47.25">
      <c r="A605" s="104" t="s">
        <v>9</v>
      </c>
      <c r="B605" s="104" t="s">
        <v>51</v>
      </c>
      <c r="C605" s="104" t="s">
        <v>330</v>
      </c>
      <c r="D605" s="104"/>
      <c r="E605" s="105" t="s">
        <v>332</v>
      </c>
      <c r="F605" s="21">
        <f>F606</f>
        <v>22884.300000000003</v>
      </c>
      <c r="G605" s="21">
        <f aca="true" t="shared" si="225" ref="G605:G606">G606</f>
        <v>20294.2</v>
      </c>
    </row>
    <row r="606" spans="1:7" ht="31.5">
      <c r="A606" s="104" t="s">
        <v>9</v>
      </c>
      <c r="B606" s="104" t="s">
        <v>51</v>
      </c>
      <c r="C606" s="104" t="s">
        <v>330</v>
      </c>
      <c r="D606" s="106" t="s">
        <v>94</v>
      </c>
      <c r="E606" s="105" t="s">
        <v>95</v>
      </c>
      <c r="F606" s="21">
        <f>F607</f>
        <v>22884.300000000003</v>
      </c>
      <c r="G606" s="21">
        <f t="shared" si="225"/>
        <v>20294.2</v>
      </c>
    </row>
    <row r="607" spans="1:7" ht="12.75">
      <c r="A607" s="104" t="s">
        <v>9</v>
      </c>
      <c r="B607" s="104" t="s">
        <v>51</v>
      </c>
      <c r="C607" s="104" t="s">
        <v>330</v>
      </c>
      <c r="D607" s="104">
        <v>610</v>
      </c>
      <c r="E607" s="105" t="s">
        <v>101</v>
      </c>
      <c r="F607" s="21">
        <f>20595.9+2288.4</f>
        <v>22884.300000000003</v>
      </c>
      <c r="G607" s="21">
        <v>20294.2</v>
      </c>
    </row>
    <row r="608" spans="1:7" ht="78.75">
      <c r="A608" s="104" t="s">
        <v>9</v>
      </c>
      <c r="B608" s="104" t="s">
        <v>51</v>
      </c>
      <c r="C608" s="104">
        <v>1110700000</v>
      </c>
      <c r="D608" s="104"/>
      <c r="E608" s="105" t="s">
        <v>298</v>
      </c>
      <c r="F608" s="21">
        <f>F609+F612</f>
        <v>13771.800000000001</v>
      </c>
      <c r="G608" s="21">
        <f aca="true" t="shared" si="226" ref="G608">G609+G612</f>
        <v>13687.4</v>
      </c>
    </row>
    <row r="609" spans="1:7" ht="31.5">
      <c r="A609" s="104" t="s">
        <v>9</v>
      </c>
      <c r="B609" s="104" t="s">
        <v>51</v>
      </c>
      <c r="C609" s="10" t="s">
        <v>376</v>
      </c>
      <c r="D609" s="104"/>
      <c r="E609" s="54" t="s">
        <v>366</v>
      </c>
      <c r="F609" s="21">
        <f>F610</f>
        <v>11017.900000000001</v>
      </c>
      <c r="G609" s="21">
        <f aca="true" t="shared" si="227" ref="G609:G610">G610</f>
        <v>10933.5</v>
      </c>
    </row>
    <row r="610" spans="1:7" ht="31.5">
      <c r="A610" s="104" t="s">
        <v>9</v>
      </c>
      <c r="B610" s="104" t="s">
        <v>51</v>
      </c>
      <c r="C610" s="10" t="s">
        <v>376</v>
      </c>
      <c r="D610" s="106" t="s">
        <v>94</v>
      </c>
      <c r="E610" s="105" t="s">
        <v>95</v>
      </c>
      <c r="F610" s="21">
        <f>F611</f>
        <v>11017.900000000001</v>
      </c>
      <c r="G610" s="21">
        <f t="shared" si="227"/>
        <v>10933.5</v>
      </c>
    </row>
    <row r="611" spans="1:7" ht="12.75">
      <c r="A611" s="104" t="s">
        <v>9</v>
      </c>
      <c r="B611" s="104" t="s">
        <v>51</v>
      </c>
      <c r="C611" s="10" t="s">
        <v>376</v>
      </c>
      <c r="D611" s="104">
        <v>610</v>
      </c>
      <c r="E611" s="105" t="s">
        <v>101</v>
      </c>
      <c r="F611" s="21">
        <f>631.1+6877.5+1121.4+1191.2+137.3+266.2+793.2</f>
        <v>11017.900000000001</v>
      </c>
      <c r="G611" s="21">
        <v>10933.5</v>
      </c>
    </row>
    <row r="612" spans="1:7" ht="63">
      <c r="A612" s="148" t="s">
        <v>9</v>
      </c>
      <c r="B612" s="148" t="s">
        <v>51</v>
      </c>
      <c r="C612" s="10" t="s">
        <v>397</v>
      </c>
      <c r="D612" s="148"/>
      <c r="E612" s="149" t="s">
        <v>398</v>
      </c>
      <c r="F612" s="21">
        <f>F613</f>
        <v>2753.9</v>
      </c>
      <c r="G612" s="21">
        <f aca="true" t="shared" si="228" ref="G612:G613">G613</f>
        <v>2753.9</v>
      </c>
    </row>
    <row r="613" spans="1:7" ht="31.5">
      <c r="A613" s="148" t="s">
        <v>9</v>
      </c>
      <c r="B613" s="148" t="s">
        <v>51</v>
      </c>
      <c r="C613" s="10" t="s">
        <v>397</v>
      </c>
      <c r="D613" s="150" t="s">
        <v>94</v>
      </c>
      <c r="E613" s="149" t="s">
        <v>95</v>
      </c>
      <c r="F613" s="21">
        <f>F614</f>
        <v>2753.9</v>
      </c>
      <c r="G613" s="21">
        <f t="shared" si="228"/>
        <v>2753.9</v>
      </c>
    </row>
    <row r="614" spans="1:7" ht="12.75">
      <c r="A614" s="148" t="s">
        <v>9</v>
      </c>
      <c r="B614" s="148" t="s">
        <v>51</v>
      </c>
      <c r="C614" s="10" t="s">
        <v>397</v>
      </c>
      <c r="D614" s="148">
        <v>610</v>
      </c>
      <c r="E614" s="149" t="s">
        <v>101</v>
      </c>
      <c r="F614" s="21">
        <f>275.4+2478.5</f>
        <v>2753.9</v>
      </c>
      <c r="G614" s="21">
        <v>2753.9</v>
      </c>
    </row>
    <row r="615" spans="1:7" ht="63">
      <c r="A615" s="104" t="s">
        <v>9</v>
      </c>
      <c r="B615" s="104" t="s">
        <v>51</v>
      </c>
      <c r="C615" s="104">
        <v>1110800000</v>
      </c>
      <c r="D615" s="104"/>
      <c r="E615" s="105" t="s">
        <v>333</v>
      </c>
      <c r="F615" s="21">
        <f>F616</f>
        <v>14530.3</v>
      </c>
      <c r="G615" s="21">
        <f aca="true" t="shared" si="229" ref="G615:G617">G616</f>
        <v>14530.3</v>
      </c>
    </row>
    <row r="616" spans="1:7" ht="47.25">
      <c r="A616" s="104" t="s">
        <v>9</v>
      </c>
      <c r="B616" s="104" t="s">
        <v>51</v>
      </c>
      <c r="C616" s="104">
        <v>1110853031</v>
      </c>
      <c r="D616" s="104"/>
      <c r="E616" s="59" t="s">
        <v>334</v>
      </c>
      <c r="F616" s="21">
        <f>F617</f>
        <v>14530.3</v>
      </c>
      <c r="G616" s="21">
        <f t="shared" si="229"/>
        <v>14530.3</v>
      </c>
    </row>
    <row r="617" spans="1:7" ht="31.5">
      <c r="A617" s="104" t="s">
        <v>9</v>
      </c>
      <c r="B617" s="104" t="s">
        <v>51</v>
      </c>
      <c r="C617" s="104">
        <v>1110853031</v>
      </c>
      <c r="D617" s="106" t="s">
        <v>94</v>
      </c>
      <c r="E617" s="105" t="s">
        <v>95</v>
      </c>
      <c r="F617" s="21">
        <f>F618</f>
        <v>14530.3</v>
      </c>
      <c r="G617" s="21">
        <f t="shared" si="229"/>
        <v>14530.3</v>
      </c>
    </row>
    <row r="618" spans="1:7" ht="12.75">
      <c r="A618" s="104" t="s">
        <v>9</v>
      </c>
      <c r="B618" s="104" t="s">
        <v>51</v>
      </c>
      <c r="C618" s="104">
        <v>1110853031</v>
      </c>
      <c r="D618" s="104">
        <v>610</v>
      </c>
      <c r="E618" s="105" t="s">
        <v>101</v>
      </c>
      <c r="F618" s="21">
        <v>14530.3</v>
      </c>
      <c r="G618" s="21">
        <v>14530.3</v>
      </c>
    </row>
    <row r="619" spans="1:7" ht="47.25">
      <c r="A619" s="104" t="s">
        <v>9</v>
      </c>
      <c r="B619" s="104" t="s">
        <v>51</v>
      </c>
      <c r="C619" s="104">
        <v>1110900000</v>
      </c>
      <c r="D619" s="104"/>
      <c r="E619" s="105" t="s">
        <v>349</v>
      </c>
      <c r="F619" s="21">
        <f>F620</f>
        <v>1890.8999999999999</v>
      </c>
      <c r="G619" s="21">
        <f aca="true" t="shared" si="230" ref="G619:G621">G620</f>
        <v>1793.1</v>
      </c>
    </row>
    <row r="620" spans="1:7" ht="47.25">
      <c r="A620" s="104" t="s">
        <v>9</v>
      </c>
      <c r="B620" s="104" t="s">
        <v>51</v>
      </c>
      <c r="C620" s="104">
        <v>1110920020</v>
      </c>
      <c r="D620" s="104"/>
      <c r="E620" s="105" t="s">
        <v>362</v>
      </c>
      <c r="F620" s="21">
        <f>F621</f>
        <v>1890.8999999999999</v>
      </c>
      <c r="G620" s="21">
        <f t="shared" si="230"/>
        <v>1793.1</v>
      </c>
    </row>
    <row r="621" spans="1:7" ht="31.5">
      <c r="A621" s="104" t="s">
        <v>9</v>
      </c>
      <c r="B621" s="104" t="s">
        <v>51</v>
      </c>
      <c r="C621" s="104">
        <v>1110920020</v>
      </c>
      <c r="D621" s="106" t="s">
        <v>94</v>
      </c>
      <c r="E621" s="105" t="s">
        <v>95</v>
      </c>
      <c r="F621" s="21">
        <f>F622</f>
        <v>1890.8999999999999</v>
      </c>
      <c r="G621" s="21">
        <f t="shared" si="230"/>
        <v>1793.1</v>
      </c>
    </row>
    <row r="622" spans="1:7" ht="12.75">
      <c r="A622" s="104" t="s">
        <v>9</v>
      </c>
      <c r="B622" s="104" t="s">
        <v>51</v>
      </c>
      <c r="C622" s="104">
        <v>1110920020</v>
      </c>
      <c r="D622" s="104">
        <v>610</v>
      </c>
      <c r="E622" s="105" t="s">
        <v>101</v>
      </c>
      <c r="F622" s="21">
        <f>919.3+660.8+310.8</f>
        <v>1890.8999999999999</v>
      </c>
      <c r="G622" s="21">
        <v>1793.1</v>
      </c>
    </row>
    <row r="623" spans="1:7" ht="31.5">
      <c r="A623" s="104" t="s">
        <v>9</v>
      </c>
      <c r="B623" s="104" t="s">
        <v>51</v>
      </c>
      <c r="C623" s="104">
        <v>1111000000</v>
      </c>
      <c r="D623" s="104"/>
      <c r="E623" s="105" t="s">
        <v>364</v>
      </c>
      <c r="F623" s="21">
        <f>F624</f>
        <v>412</v>
      </c>
      <c r="G623" s="21">
        <f aca="true" t="shared" si="231" ref="G623:G625">G624</f>
        <v>338.2</v>
      </c>
    </row>
    <row r="624" spans="1:7" ht="12.75">
      <c r="A624" s="104" t="s">
        <v>9</v>
      </c>
      <c r="B624" s="104" t="s">
        <v>51</v>
      </c>
      <c r="C624" s="104">
        <v>1111020030</v>
      </c>
      <c r="D624" s="104"/>
      <c r="E624" s="105" t="s">
        <v>265</v>
      </c>
      <c r="F624" s="21">
        <f>F625</f>
        <v>412</v>
      </c>
      <c r="G624" s="21">
        <f t="shared" si="231"/>
        <v>338.2</v>
      </c>
    </row>
    <row r="625" spans="1:7" ht="31.5">
      <c r="A625" s="104" t="s">
        <v>9</v>
      </c>
      <c r="B625" s="104" t="s">
        <v>51</v>
      </c>
      <c r="C625" s="104">
        <v>1111020030</v>
      </c>
      <c r="D625" s="106" t="s">
        <v>94</v>
      </c>
      <c r="E625" s="105" t="s">
        <v>95</v>
      </c>
      <c r="F625" s="21">
        <f>F626</f>
        <v>412</v>
      </c>
      <c r="G625" s="21">
        <f t="shared" si="231"/>
        <v>338.2</v>
      </c>
    </row>
    <row r="626" spans="1:7" ht="12.75">
      <c r="A626" s="104" t="s">
        <v>9</v>
      </c>
      <c r="B626" s="104" t="s">
        <v>51</v>
      </c>
      <c r="C626" s="104">
        <v>1111020030</v>
      </c>
      <c r="D626" s="104">
        <v>610</v>
      </c>
      <c r="E626" s="105" t="s">
        <v>101</v>
      </c>
      <c r="F626" s="21">
        <v>412</v>
      </c>
      <c r="G626" s="21">
        <v>338.2</v>
      </c>
    </row>
    <row r="627" spans="1:7" ht="12.75">
      <c r="A627" s="137" t="s">
        <v>9</v>
      </c>
      <c r="B627" s="137" t="s">
        <v>51</v>
      </c>
      <c r="C627" s="137">
        <v>1120000000</v>
      </c>
      <c r="D627" s="137"/>
      <c r="E627" s="138" t="s">
        <v>119</v>
      </c>
      <c r="F627" s="21">
        <f>F628</f>
        <v>559.8</v>
      </c>
      <c r="G627" s="21">
        <f aca="true" t="shared" si="232" ref="G627:G630">G628</f>
        <v>559.8</v>
      </c>
    </row>
    <row r="628" spans="1:7" ht="63">
      <c r="A628" s="137" t="s">
        <v>9</v>
      </c>
      <c r="B628" s="137" t="s">
        <v>51</v>
      </c>
      <c r="C628" s="137">
        <v>1120100000</v>
      </c>
      <c r="D628" s="137"/>
      <c r="E628" s="138" t="s">
        <v>120</v>
      </c>
      <c r="F628" s="21">
        <f>F629</f>
        <v>559.8</v>
      </c>
      <c r="G628" s="21">
        <f t="shared" si="232"/>
        <v>559.8</v>
      </c>
    </row>
    <row r="629" spans="1:7" ht="31.5">
      <c r="A629" s="137" t="s">
        <v>9</v>
      </c>
      <c r="B629" s="137" t="s">
        <v>51</v>
      </c>
      <c r="C629" s="137">
        <v>1120120010</v>
      </c>
      <c r="D629" s="137"/>
      <c r="E629" s="138" t="s">
        <v>121</v>
      </c>
      <c r="F629" s="21">
        <f>F630</f>
        <v>559.8</v>
      </c>
      <c r="G629" s="21">
        <f t="shared" si="232"/>
        <v>559.8</v>
      </c>
    </row>
    <row r="630" spans="1:7" ht="31.5">
      <c r="A630" s="137" t="s">
        <v>9</v>
      </c>
      <c r="B630" s="137" t="s">
        <v>51</v>
      </c>
      <c r="C630" s="137">
        <v>1120120010</v>
      </c>
      <c r="D630" s="139" t="s">
        <v>94</v>
      </c>
      <c r="E630" s="138" t="s">
        <v>95</v>
      </c>
      <c r="F630" s="21">
        <f>F631</f>
        <v>559.8</v>
      </c>
      <c r="G630" s="21">
        <f t="shared" si="232"/>
        <v>559.8</v>
      </c>
    </row>
    <row r="631" spans="1:7" ht="12.75">
      <c r="A631" s="137" t="s">
        <v>9</v>
      </c>
      <c r="B631" s="137" t="s">
        <v>51</v>
      </c>
      <c r="C631" s="137">
        <v>1120120010</v>
      </c>
      <c r="D631" s="137">
        <v>610</v>
      </c>
      <c r="E631" s="138" t="s">
        <v>101</v>
      </c>
      <c r="F631" s="21">
        <f>826-266.2</f>
        <v>559.8</v>
      </c>
      <c r="G631" s="21">
        <v>559.8</v>
      </c>
    </row>
    <row r="632" spans="1:7" ht="31.5">
      <c r="A632" s="104" t="s">
        <v>9</v>
      </c>
      <c r="B632" s="104" t="s">
        <v>51</v>
      </c>
      <c r="C632" s="104">
        <v>1130000000</v>
      </c>
      <c r="D632" s="104"/>
      <c r="E632" s="105" t="s">
        <v>112</v>
      </c>
      <c r="F632" s="21">
        <f>F633</f>
        <v>129.7</v>
      </c>
      <c r="G632" s="21">
        <f aca="true" t="shared" si="233" ref="G632:G638">G633</f>
        <v>129.7</v>
      </c>
    </row>
    <row r="633" spans="1:7" ht="31.5">
      <c r="A633" s="104" t="s">
        <v>9</v>
      </c>
      <c r="B633" s="104" t="s">
        <v>51</v>
      </c>
      <c r="C633" s="104">
        <v>1130100000</v>
      </c>
      <c r="D633" s="104"/>
      <c r="E633" s="105" t="s">
        <v>229</v>
      </c>
      <c r="F633" s="21">
        <f>F637+F634</f>
        <v>129.7</v>
      </c>
      <c r="G633" s="21">
        <f aca="true" t="shared" si="234" ref="G633">G637+G634</f>
        <v>129.7</v>
      </c>
    </row>
    <row r="634" spans="1:7" ht="47.25">
      <c r="A634" s="104" t="s">
        <v>9</v>
      </c>
      <c r="B634" s="104" t="s">
        <v>51</v>
      </c>
      <c r="C634" s="106">
        <v>1130111080</v>
      </c>
      <c r="D634" s="104"/>
      <c r="E634" s="105" t="s">
        <v>284</v>
      </c>
      <c r="F634" s="21">
        <f>F635</f>
        <v>116.7</v>
      </c>
      <c r="G634" s="21">
        <f aca="true" t="shared" si="235" ref="G634:G635">G635</f>
        <v>116.7</v>
      </c>
    </row>
    <row r="635" spans="1:7" ht="31.5">
      <c r="A635" s="104" t="s">
        <v>9</v>
      </c>
      <c r="B635" s="104" t="s">
        <v>51</v>
      </c>
      <c r="C635" s="106">
        <v>1130111080</v>
      </c>
      <c r="D635" s="106" t="s">
        <v>94</v>
      </c>
      <c r="E635" s="105" t="s">
        <v>95</v>
      </c>
      <c r="F635" s="21">
        <f>F636</f>
        <v>116.7</v>
      </c>
      <c r="G635" s="21">
        <f t="shared" si="235"/>
        <v>116.7</v>
      </c>
    </row>
    <row r="636" spans="1:7" ht="12.75">
      <c r="A636" s="104" t="s">
        <v>9</v>
      </c>
      <c r="B636" s="104" t="s">
        <v>51</v>
      </c>
      <c r="C636" s="106">
        <v>1130111080</v>
      </c>
      <c r="D636" s="104">
        <v>610</v>
      </c>
      <c r="E636" s="105" t="s">
        <v>101</v>
      </c>
      <c r="F636" s="21">
        <v>116.7</v>
      </c>
      <c r="G636" s="21">
        <v>116.7</v>
      </c>
    </row>
    <row r="637" spans="1:7" ht="47.25">
      <c r="A637" s="104" t="s">
        <v>9</v>
      </c>
      <c r="B637" s="104" t="s">
        <v>51</v>
      </c>
      <c r="C637" s="106" t="s">
        <v>250</v>
      </c>
      <c r="D637" s="104"/>
      <c r="E637" s="105" t="s">
        <v>251</v>
      </c>
      <c r="F637" s="21">
        <f>F638</f>
        <v>13</v>
      </c>
      <c r="G637" s="21">
        <f t="shared" si="233"/>
        <v>13</v>
      </c>
    </row>
    <row r="638" spans="1:7" ht="31.5">
      <c r="A638" s="104" t="s">
        <v>9</v>
      </c>
      <c r="B638" s="104" t="s">
        <v>51</v>
      </c>
      <c r="C638" s="106" t="s">
        <v>250</v>
      </c>
      <c r="D638" s="106" t="s">
        <v>94</v>
      </c>
      <c r="E638" s="105" t="s">
        <v>95</v>
      </c>
      <c r="F638" s="21">
        <f>F639</f>
        <v>13</v>
      </c>
      <c r="G638" s="21">
        <f t="shared" si="233"/>
        <v>13</v>
      </c>
    </row>
    <row r="639" spans="1:7" ht="12.75">
      <c r="A639" s="104" t="s">
        <v>9</v>
      </c>
      <c r="B639" s="104" t="s">
        <v>51</v>
      </c>
      <c r="C639" s="106" t="s">
        <v>250</v>
      </c>
      <c r="D639" s="104">
        <v>610</v>
      </c>
      <c r="E639" s="105" t="s">
        <v>101</v>
      </c>
      <c r="F639" s="21">
        <v>13</v>
      </c>
      <c r="G639" s="21">
        <v>13</v>
      </c>
    </row>
    <row r="640" spans="1:7" ht="31.5">
      <c r="A640" s="2" t="s">
        <v>9</v>
      </c>
      <c r="B640" s="104" t="s">
        <v>51</v>
      </c>
      <c r="C640" s="106">
        <v>1500000000</v>
      </c>
      <c r="D640" s="104"/>
      <c r="E640" s="54" t="s">
        <v>188</v>
      </c>
      <c r="F640" s="21">
        <f>F641</f>
        <v>5467.5</v>
      </c>
      <c r="G640" s="21">
        <f aca="true" t="shared" si="236" ref="G640:G648">G641</f>
        <v>5467.5</v>
      </c>
    </row>
    <row r="641" spans="1:7" ht="31.5">
      <c r="A641" s="2" t="s">
        <v>9</v>
      </c>
      <c r="B641" s="104" t="s">
        <v>51</v>
      </c>
      <c r="C641" s="106">
        <v>1520000000</v>
      </c>
      <c r="D641" s="104"/>
      <c r="E641" s="54" t="s">
        <v>269</v>
      </c>
      <c r="F641" s="21">
        <f>F646+F642</f>
        <v>5467.5</v>
      </c>
      <c r="G641" s="21">
        <f aca="true" t="shared" si="237" ref="G641">G646+G642</f>
        <v>5467.5</v>
      </c>
    </row>
    <row r="642" spans="1:7" ht="78.75">
      <c r="A642" s="137" t="s">
        <v>9</v>
      </c>
      <c r="B642" s="137" t="s">
        <v>51</v>
      </c>
      <c r="C642" s="137">
        <v>1520100000</v>
      </c>
      <c r="D642" s="137"/>
      <c r="E642" s="54" t="s">
        <v>372</v>
      </c>
      <c r="F642" s="21">
        <f aca="true" t="shared" si="238" ref="F642:G644">F643</f>
        <v>1298.1</v>
      </c>
      <c r="G642" s="21">
        <f t="shared" si="238"/>
        <v>1298.1</v>
      </c>
    </row>
    <row r="643" spans="1:7" ht="31.5">
      <c r="A643" s="137" t="s">
        <v>9</v>
      </c>
      <c r="B643" s="137" t="s">
        <v>51</v>
      </c>
      <c r="C643" s="10" t="s">
        <v>373</v>
      </c>
      <c r="D643" s="137"/>
      <c r="E643" s="54" t="s">
        <v>374</v>
      </c>
      <c r="F643" s="21">
        <f t="shared" si="238"/>
        <v>1298.1</v>
      </c>
      <c r="G643" s="21">
        <f t="shared" si="238"/>
        <v>1298.1</v>
      </c>
    </row>
    <row r="644" spans="1:7" ht="31.5">
      <c r="A644" s="2" t="s">
        <v>9</v>
      </c>
      <c r="B644" s="137" t="s">
        <v>51</v>
      </c>
      <c r="C644" s="10" t="s">
        <v>373</v>
      </c>
      <c r="D644" s="139" t="s">
        <v>94</v>
      </c>
      <c r="E644" s="54" t="s">
        <v>95</v>
      </c>
      <c r="F644" s="21">
        <f t="shared" si="238"/>
        <v>1298.1</v>
      </c>
      <c r="G644" s="21">
        <f t="shared" si="238"/>
        <v>1298.1</v>
      </c>
    </row>
    <row r="645" spans="1:7" ht="12.75">
      <c r="A645" s="2" t="s">
        <v>9</v>
      </c>
      <c r="B645" s="137" t="s">
        <v>51</v>
      </c>
      <c r="C645" s="10" t="s">
        <v>373</v>
      </c>
      <c r="D645" s="137">
        <v>610</v>
      </c>
      <c r="E645" s="54" t="s">
        <v>101</v>
      </c>
      <c r="F645" s="21">
        <v>1298.1</v>
      </c>
      <c r="G645" s="21">
        <v>1298.1</v>
      </c>
    </row>
    <row r="646" spans="1:7" ht="47.25">
      <c r="A646" s="104" t="s">
        <v>9</v>
      </c>
      <c r="B646" s="104" t="s">
        <v>51</v>
      </c>
      <c r="C646" s="106">
        <v>1520300000</v>
      </c>
      <c r="D646" s="104"/>
      <c r="E646" s="105" t="s">
        <v>400</v>
      </c>
      <c r="F646" s="21">
        <f>F647</f>
        <v>4169.4</v>
      </c>
      <c r="G646" s="21">
        <f t="shared" si="236"/>
        <v>4169.4</v>
      </c>
    </row>
    <row r="647" spans="1:7" ht="12.75">
      <c r="A647" s="104" t="s">
        <v>9</v>
      </c>
      <c r="B647" s="104" t="s">
        <v>51</v>
      </c>
      <c r="C647" s="106">
        <v>1520320200</v>
      </c>
      <c r="D647" s="104"/>
      <c r="E647" s="54" t="s">
        <v>347</v>
      </c>
      <c r="F647" s="21">
        <f>F648</f>
        <v>4169.4</v>
      </c>
      <c r="G647" s="21">
        <f t="shared" si="236"/>
        <v>4169.4</v>
      </c>
    </row>
    <row r="648" spans="1:7" ht="31.5">
      <c r="A648" s="2" t="s">
        <v>9</v>
      </c>
      <c r="B648" s="104" t="s">
        <v>51</v>
      </c>
      <c r="C648" s="106">
        <v>1520320200</v>
      </c>
      <c r="D648" s="106" t="s">
        <v>94</v>
      </c>
      <c r="E648" s="54" t="s">
        <v>95</v>
      </c>
      <c r="F648" s="21">
        <f>F649</f>
        <v>4169.4</v>
      </c>
      <c r="G648" s="21">
        <f t="shared" si="236"/>
        <v>4169.4</v>
      </c>
    </row>
    <row r="649" spans="1:7" ht="12.75">
      <c r="A649" s="2" t="s">
        <v>9</v>
      </c>
      <c r="B649" s="104" t="s">
        <v>51</v>
      </c>
      <c r="C649" s="106">
        <v>1520320200</v>
      </c>
      <c r="D649" s="104">
        <v>610</v>
      </c>
      <c r="E649" s="54" t="s">
        <v>101</v>
      </c>
      <c r="F649" s="21">
        <f>4271-101.6</f>
        <v>4169.4</v>
      </c>
      <c r="G649" s="21">
        <v>4169.4</v>
      </c>
    </row>
    <row r="650" spans="1:7" ht="12.75">
      <c r="A650" s="116" t="s">
        <v>9</v>
      </c>
      <c r="B650" s="115" t="s">
        <v>51</v>
      </c>
      <c r="C650" s="116">
        <v>9900000000</v>
      </c>
      <c r="D650" s="116"/>
      <c r="E650" s="54" t="s">
        <v>102</v>
      </c>
      <c r="F650" s="21">
        <f>F651</f>
        <v>728.1</v>
      </c>
      <c r="G650" s="21">
        <f aca="true" t="shared" si="239" ref="G650:G653">G651</f>
        <v>728.1</v>
      </c>
    </row>
    <row r="651" spans="1:7" ht="47.25">
      <c r="A651" s="116" t="s">
        <v>9</v>
      </c>
      <c r="B651" s="115" t="s">
        <v>51</v>
      </c>
      <c r="C651" s="116">
        <v>9920000000</v>
      </c>
      <c r="D651" s="116"/>
      <c r="E651" s="54" t="s">
        <v>377</v>
      </c>
      <c r="F651" s="21">
        <f>F652</f>
        <v>728.1</v>
      </c>
      <c r="G651" s="21">
        <f t="shared" si="239"/>
        <v>728.1</v>
      </c>
    </row>
    <row r="652" spans="1:7" ht="47.25">
      <c r="A652" s="116" t="s">
        <v>9</v>
      </c>
      <c r="B652" s="115" t="s">
        <v>51</v>
      </c>
      <c r="C652" s="116">
        <v>9920010920</v>
      </c>
      <c r="D652" s="116"/>
      <c r="E652" s="54" t="s">
        <v>378</v>
      </c>
      <c r="F652" s="21">
        <f>F653</f>
        <v>728.1</v>
      </c>
      <c r="G652" s="21">
        <f t="shared" si="239"/>
        <v>728.1</v>
      </c>
    </row>
    <row r="653" spans="1:7" ht="31.5">
      <c r="A653" s="2" t="s">
        <v>9</v>
      </c>
      <c r="B653" s="115" t="s">
        <v>51</v>
      </c>
      <c r="C653" s="116">
        <v>9920010920</v>
      </c>
      <c r="D653" s="116" t="s">
        <v>94</v>
      </c>
      <c r="E653" s="54" t="s">
        <v>95</v>
      </c>
      <c r="F653" s="21">
        <f>F654</f>
        <v>728.1</v>
      </c>
      <c r="G653" s="21">
        <f t="shared" si="239"/>
        <v>728.1</v>
      </c>
    </row>
    <row r="654" spans="1:7" ht="12.75">
      <c r="A654" s="2" t="s">
        <v>9</v>
      </c>
      <c r="B654" s="115" t="s">
        <v>51</v>
      </c>
      <c r="C654" s="116">
        <v>9920010920</v>
      </c>
      <c r="D654" s="116">
        <v>610</v>
      </c>
      <c r="E654" s="54" t="s">
        <v>101</v>
      </c>
      <c r="F654" s="21">
        <v>728.1</v>
      </c>
      <c r="G654" s="21">
        <v>728.1</v>
      </c>
    </row>
    <row r="655" spans="1:7" ht="12.75">
      <c r="A655" s="104" t="s">
        <v>9</v>
      </c>
      <c r="B655" s="104" t="s">
        <v>88</v>
      </c>
      <c r="C655" s="104" t="s">
        <v>66</v>
      </c>
      <c r="D655" s="104" t="s">
        <v>66</v>
      </c>
      <c r="E655" s="105" t="s">
        <v>89</v>
      </c>
      <c r="F655" s="21">
        <f>F656</f>
        <v>12213.199999999997</v>
      </c>
      <c r="G655" s="21">
        <f aca="true" t="shared" si="240" ref="G655">G656</f>
        <v>12213.2</v>
      </c>
    </row>
    <row r="656" spans="1:7" ht="47.25">
      <c r="A656" s="104" t="s">
        <v>9</v>
      </c>
      <c r="B656" s="104" t="s">
        <v>88</v>
      </c>
      <c r="C656" s="106">
        <v>1100000000</v>
      </c>
      <c r="D656" s="104"/>
      <c r="E656" s="105" t="s">
        <v>192</v>
      </c>
      <c r="F656" s="21">
        <f aca="true" t="shared" si="241" ref="F656:G663">F657</f>
        <v>12213.199999999997</v>
      </c>
      <c r="G656" s="21">
        <f t="shared" si="241"/>
        <v>12213.2</v>
      </c>
    </row>
    <row r="657" spans="1:7" ht="12.75">
      <c r="A657" s="104" t="s">
        <v>9</v>
      </c>
      <c r="B657" s="104" t="s">
        <v>88</v>
      </c>
      <c r="C657" s="104">
        <v>1120000000</v>
      </c>
      <c r="D657" s="104"/>
      <c r="E657" s="105" t="s">
        <v>119</v>
      </c>
      <c r="F657" s="21">
        <f>F658</f>
        <v>12213.199999999997</v>
      </c>
      <c r="G657" s="21">
        <f t="shared" si="241"/>
        <v>12213.2</v>
      </c>
    </row>
    <row r="658" spans="1:7" ht="63">
      <c r="A658" s="2" t="s">
        <v>9</v>
      </c>
      <c r="B658" s="104" t="s">
        <v>88</v>
      </c>
      <c r="C658" s="104">
        <v>1120100000</v>
      </c>
      <c r="D658" s="104"/>
      <c r="E658" s="105" t="s">
        <v>120</v>
      </c>
      <c r="F658" s="21">
        <f>F662+F659+F665</f>
        <v>12213.199999999997</v>
      </c>
      <c r="G658" s="21">
        <f aca="true" t="shared" si="242" ref="G658">G662+G659+G665</f>
        <v>12213.2</v>
      </c>
    </row>
    <row r="659" spans="1:7" ht="63">
      <c r="A659" s="104" t="s">
        <v>9</v>
      </c>
      <c r="B659" s="104" t="s">
        <v>88</v>
      </c>
      <c r="C659" s="104">
        <v>1120110690</v>
      </c>
      <c r="D659" s="104"/>
      <c r="E659" s="54" t="s">
        <v>276</v>
      </c>
      <c r="F659" s="21">
        <f>F660</f>
        <v>2855.7</v>
      </c>
      <c r="G659" s="21">
        <f aca="true" t="shared" si="243" ref="G659:G660">G660</f>
        <v>2855.7</v>
      </c>
    </row>
    <row r="660" spans="1:7" ht="31.5">
      <c r="A660" s="104" t="s">
        <v>9</v>
      </c>
      <c r="B660" s="104" t="s">
        <v>88</v>
      </c>
      <c r="C660" s="104">
        <v>1120110690</v>
      </c>
      <c r="D660" s="106" t="s">
        <v>94</v>
      </c>
      <c r="E660" s="54" t="s">
        <v>95</v>
      </c>
      <c r="F660" s="21">
        <f>F661</f>
        <v>2855.7</v>
      </c>
      <c r="G660" s="21">
        <f t="shared" si="243"/>
        <v>2855.7</v>
      </c>
    </row>
    <row r="661" spans="1:7" ht="12.75">
      <c r="A661" s="2" t="s">
        <v>9</v>
      </c>
      <c r="B661" s="104" t="s">
        <v>88</v>
      </c>
      <c r="C661" s="104">
        <v>1120110690</v>
      </c>
      <c r="D661" s="104">
        <v>610</v>
      </c>
      <c r="E661" s="54" t="s">
        <v>101</v>
      </c>
      <c r="F661" s="21">
        <f>3623.2+209.6-494+879.6-1362.7</f>
        <v>2855.7</v>
      </c>
      <c r="G661" s="21">
        <v>2855.7</v>
      </c>
    </row>
    <row r="662" spans="1:7" ht="31.5">
      <c r="A662" s="2" t="s">
        <v>9</v>
      </c>
      <c r="B662" s="104" t="s">
        <v>88</v>
      </c>
      <c r="C662" s="104">
        <v>1120120010</v>
      </c>
      <c r="D662" s="104"/>
      <c r="E662" s="105" t="s">
        <v>121</v>
      </c>
      <c r="F662" s="21">
        <f t="shared" si="241"/>
        <v>9328.699999999999</v>
      </c>
      <c r="G662" s="21">
        <f t="shared" si="241"/>
        <v>9328.7</v>
      </c>
    </row>
    <row r="663" spans="1:7" ht="31.5">
      <c r="A663" s="2" t="s">
        <v>9</v>
      </c>
      <c r="B663" s="104" t="s">
        <v>88</v>
      </c>
      <c r="C663" s="104">
        <v>1120120010</v>
      </c>
      <c r="D663" s="106" t="s">
        <v>94</v>
      </c>
      <c r="E663" s="105" t="s">
        <v>95</v>
      </c>
      <c r="F663" s="21">
        <f t="shared" si="241"/>
        <v>9328.699999999999</v>
      </c>
      <c r="G663" s="21">
        <f t="shared" si="241"/>
        <v>9328.7</v>
      </c>
    </row>
    <row r="664" spans="1:7" ht="12.75">
      <c r="A664" s="104" t="s">
        <v>9</v>
      </c>
      <c r="B664" s="104" t="s">
        <v>88</v>
      </c>
      <c r="C664" s="104">
        <v>1120120010</v>
      </c>
      <c r="D664" s="104">
        <v>610</v>
      </c>
      <c r="E664" s="105" t="s">
        <v>101</v>
      </c>
      <c r="F664" s="21">
        <f>9276-2.1+44.9+5-8.9+13.8</f>
        <v>9328.699999999999</v>
      </c>
      <c r="G664" s="21">
        <v>9328.7</v>
      </c>
    </row>
    <row r="665" spans="1:7" ht="63">
      <c r="A665" s="104" t="s">
        <v>9</v>
      </c>
      <c r="B665" s="104" t="s">
        <v>88</v>
      </c>
      <c r="C665" s="104" t="s">
        <v>288</v>
      </c>
      <c r="D665" s="104"/>
      <c r="E665" s="54" t="s">
        <v>289</v>
      </c>
      <c r="F665" s="21">
        <f>F666</f>
        <v>28.8</v>
      </c>
      <c r="G665" s="21">
        <f aca="true" t="shared" si="244" ref="G665:G666">G666</f>
        <v>28.8</v>
      </c>
    </row>
    <row r="666" spans="1:7" ht="31.5">
      <c r="A666" s="2" t="s">
        <v>9</v>
      </c>
      <c r="B666" s="104" t="s">
        <v>88</v>
      </c>
      <c r="C666" s="104" t="s">
        <v>288</v>
      </c>
      <c r="D666" s="106" t="s">
        <v>94</v>
      </c>
      <c r="E666" s="54" t="s">
        <v>95</v>
      </c>
      <c r="F666" s="21">
        <f>F667</f>
        <v>28.8</v>
      </c>
      <c r="G666" s="21">
        <f t="shared" si="244"/>
        <v>28.8</v>
      </c>
    </row>
    <row r="667" spans="1:7" ht="12.75">
      <c r="A667" s="2" t="s">
        <v>9</v>
      </c>
      <c r="B667" s="104" t="s">
        <v>88</v>
      </c>
      <c r="C667" s="104" t="s">
        <v>288</v>
      </c>
      <c r="D667" s="104">
        <v>610</v>
      </c>
      <c r="E667" s="54" t="s">
        <v>101</v>
      </c>
      <c r="F667" s="21">
        <f>36.6+2.1-5+8.9-13.8</f>
        <v>28.8</v>
      </c>
      <c r="G667" s="21">
        <v>28.8</v>
      </c>
    </row>
    <row r="668" spans="1:7" ht="12.75">
      <c r="A668" s="104" t="s">
        <v>9</v>
      </c>
      <c r="B668" s="104" t="s">
        <v>38</v>
      </c>
      <c r="C668" s="104" t="s">
        <v>66</v>
      </c>
      <c r="D668" s="104" t="s">
        <v>66</v>
      </c>
      <c r="E668" s="105" t="s">
        <v>96</v>
      </c>
      <c r="F668" s="21">
        <f aca="true" t="shared" si="245" ref="F668:G678">F669</f>
        <v>3781.0999999999995</v>
      </c>
      <c r="G668" s="21">
        <f t="shared" si="245"/>
        <v>3739.7000000000003</v>
      </c>
    </row>
    <row r="669" spans="1:7" ht="47.25">
      <c r="A669" s="104" t="s">
        <v>9</v>
      </c>
      <c r="B669" s="104" t="s">
        <v>38</v>
      </c>
      <c r="C669" s="106">
        <v>1100000000</v>
      </c>
      <c r="D669" s="104"/>
      <c r="E669" s="105" t="s">
        <v>192</v>
      </c>
      <c r="F669" s="21">
        <f t="shared" si="245"/>
        <v>3781.0999999999995</v>
      </c>
      <c r="G669" s="21">
        <f t="shared" si="245"/>
        <v>3739.7000000000003</v>
      </c>
    </row>
    <row r="670" spans="1:7" ht="12.75">
      <c r="A670" s="104" t="s">
        <v>9</v>
      </c>
      <c r="B670" s="104" t="s">
        <v>38</v>
      </c>
      <c r="C670" s="104">
        <v>1110000000</v>
      </c>
      <c r="D670" s="104"/>
      <c r="E670" s="105" t="s">
        <v>175</v>
      </c>
      <c r="F670" s="21">
        <f t="shared" si="245"/>
        <v>3781.0999999999995</v>
      </c>
      <c r="G670" s="21">
        <f t="shared" si="245"/>
        <v>3739.7000000000003</v>
      </c>
    </row>
    <row r="671" spans="1:7" ht="31.5">
      <c r="A671" s="104" t="s">
        <v>9</v>
      </c>
      <c r="B671" s="104" t="s">
        <v>38</v>
      </c>
      <c r="C671" s="104">
        <v>1110400000</v>
      </c>
      <c r="D671" s="104"/>
      <c r="E671" s="105" t="s">
        <v>181</v>
      </c>
      <c r="F671" s="21">
        <f>F677+F672</f>
        <v>3781.0999999999995</v>
      </c>
      <c r="G671" s="21">
        <f aca="true" t="shared" si="246" ref="G671">G677+G672</f>
        <v>3739.7000000000003</v>
      </c>
    </row>
    <row r="672" spans="1:7" ht="31.5">
      <c r="A672" s="104" t="s">
        <v>9</v>
      </c>
      <c r="B672" s="104" t="s">
        <v>38</v>
      </c>
      <c r="C672" s="104">
        <v>1110410240</v>
      </c>
      <c r="D672" s="104"/>
      <c r="E672" s="54" t="s">
        <v>285</v>
      </c>
      <c r="F672" s="21">
        <f>F673+F675</f>
        <v>3402.9999999999995</v>
      </c>
      <c r="G672" s="21">
        <f aca="true" t="shared" si="247" ref="G672">G673+G675</f>
        <v>3391.3</v>
      </c>
    </row>
    <row r="673" spans="1:7" ht="12.75">
      <c r="A673" s="104" t="s">
        <v>9</v>
      </c>
      <c r="B673" s="104" t="s">
        <v>38</v>
      </c>
      <c r="C673" s="104">
        <v>1110410240</v>
      </c>
      <c r="D673" s="1" t="s">
        <v>73</v>
      </c>
      <c r="E673" s="46" t="s">
        <v>74</v>
      </c>
      <c r="F673" s="21">
        <f>F674</f>
        <v>62.20000000000003</v>
      </c>
      <c r="G673" s="21">
        <f aca="true" t="shared" si="248" ref="G673">G674</f>
        <v>50.5</v>
      </c>
    </row>
    <row r="674" spans="1:7" ht="31.5">
      <c r="A674" s="104" t="s">
        <v>9</v>
      </c>
      <c r="B674" s="104" t="s">
        <v>38</v>
      </c>
      <c r="C674" s="104">
        <v>1110410240</v>
      </c>
      <c r="D674" s="104">
        <v>320</v>
      </c>
      <c r="E674" s="105" t="s">
        <v>99</v>
      </c>
      <c r="F674" s="21">
        <f>330.6-235.2-33.2</f>
        <v>62.20000000000003</v>
      </c>
      <c r="G674" s="21">
        <v>50.5</v>
      </c>
    </row>
    <row r="675" spans="1:7" ht="31.5">
      <c r="A675" s="104" t="s">
        <v>9</v>
      </c>
      <c r="B675" s="104" t="s">
        <v>38</v>
      </c>
      <c r="C675" s="104">
        <v>1110410240</v>
      </c>
      <c r="D675" s="106" t="s">
        <v>94</v>
      </c>
      <c r="E675" s="105" t="s">
        <v>95</v>
      </c>
      <c r="F675" s="21">
        <f>F676</f>
        <v>3340.7999999999997</v>
      </c>
      <c r="G675" s="21">
        <f aca="true" t="shared" si="249" ref="G675">G676</f>
        <v>3340.8</v>
      </c>
    </row>
    <row r="676" spans="1:7" ht="12.75">
      <c r="A676" s="104" t="s">
        <v>9</v>
      </c>
      <c r="B676" s="104" t="s">
        <v>38</v>
      </c>
      <c r="C676" s="104">
        <v>1110410240</v>
      </c>
      <c r="D676" s="104">
        <v>610</v>
      </c>
      <c r="E676" s="105" t="s">
        <v>101</v>
      </c>
      <c r="F676" s="21">
        <f>3072.4+235.2+33.2</f>
        <v>3340.7999999999997</v>
      </c>
      <c r="G676" s="21">
        <v>3340.8</v>
      </c>
    </row>
    <row r="677" spans="1:7" ht="31.5">
      <c r="A677" s="104" t="s">
        <v>9</v>
      </c>
      <c r="B677" s="104" t="s">
        <v>38</v>
      </c>
      <c r="C677" s="104" t="s">
        <v>183</v>
      </c>
      <c r="D677" s="104"/>
      <c r="E677" s="105" t="s">
        <v>182</v>
      </c>
      <c r="F677" s="21">
        <f t="shared" si="245"/>
        <v>378.1</v>
      </c>
      <c r="G677" s="21">
        <f t="shared" si="245"/>
        <v>348.4</v>
      </c>
    </row>
    <row r="678" spans="1:7" ht="12.75">
      <c r="A678" s="104" t="s">
        <v>9</v>
      </c>
      <c r="B678" s="104" t="s">
        <v>38</v>
      </c>
      <c r="C678" s="104" t="s">
        <v>183</v>
      </c>
      <c r="D678" s="1" t="s">
        <v>73</v>
      </c>
      <c r="E678" s="46" t="s">
        <v>74</v>
      </c>
      <c r="F678" s="21">
        <f t="shared" si="245"/>
        <v>378.1</v>
      </c>
      <c r="G678" s="21">
        <f t="shared" si="245"/>
        <v>348.4</v>
      </c>
    </row>
    <row r="679" spans="1:7" ht="31.5">
      <c r="A679" s="104" t="s">
        <v>9</v>
      </c>
      <c r="B679" s="104" t="s">
        <v>38</v>
      </c>
      <c r="C679" s="104" t="s">
        <v>183</v>
      </c>
      <c r="D679" s="104">
        <v>320</v>
      </c>
      <c r="E679" s="105" t="s">
        <v>99</v>
      </c>
      <c r="F679" s="21">
        <v>378.1</v>
      </c>
      <c r="G679" s="21">
        <v>348.4</v>
      </c>
    </row>
    <row r="680" spans="1:7" ht="12.75">
      <c r="A680" s="104" t="s">
        <v>9</v>
      </c>
      <c r="B680" s="104" t="s">
        <v>52</v>
      </c>
      <c r="C680" s="104" t="s">
        <v>66</v>
      </c>
      <c r="D680" s="104" t="s">
        <v>66</v>
      </c>
      <c r="E680" s="105" t="s">
        <v>12</v>
      </c>
      <c r="F680" s="21">
        <f>F681+F691</f>
        <v>6500.599999999999</v>
      </c>
      <c r="G680" s="21">
        <f>G681+G691</f>
        <v>6428.8</v>
      </c>
    </row>
    <row r="681" spans="1:7" ht="47.25">
      <c r="A681" s="104" t="s">
        <v>9</v>
      </c>
      <c r="B681" s="104" t="s">
        <v>52</v>
      </c>
      <c r="C681" s="106">
        <v>1100000000</v>
      </c>
      <c r="D681" s="104"/>
      <c r="E681" s="105" t="s">
        <v>192</v>
      </c>
      <c r="F681" s="21">
        <f>F682</f>
        <v>245.5</v>
      </c>
      <c r="G681" s="21">
        <f aca="true" t="shared" si="250" ref="G681:G689">G682</f>
        <v>175.6</v>
      </c>
    </row>
    <row r="682" spans="1:7" ht="31.5">
      <c r="A682" s="104" t="s">
        <v>9</v>
      </c>
      <c r="B682" s="104" t="s">
        <v>52</v>
      </c>
      <c r="C682" s="106">
        <v>1130000000</v>
      </c>
      <c r="D682" s="24"/>
      <c r="E682" s="105" t="s">
        <v>112</v>
      </c>
      <c r="F682" s="21">
        <f>F687+F683</f>
        <v>245.5</v>
      </c>
      <c r="G682" s="21">
        <f aca="true" t="shared" si="251" ref="G682">G687+G683</f>
        <v>175.6</v>
      </c>
    </row>
    <row r="683" spans="1:7" ht="31.5">
      <c r="A683" s="104" t="s">
        <v>9</v>
      </c>
      <c r="B683" s="104" t="s">
        <v>52</v>
      </c>
      <c r="C683" s="104">
        <v>1130100000</v>
      </c>
      <c r="D683" s="24"/>
      <c r="E683" s="105" t="s">
        <v>229</v>
      </c>
      <c r="F683" s="21">
        <f>F684</f>
        <v>155.9</v>
      </c>
      <c r="G683" s="21">
        <f aca="true" t="shared" si="252" ref="G683:G685">G684</f>
        <v>142.1</v>
      </c>
    </row>
    <row r="684" spans="1:7" ht="47.25">
      <c r="A684" s="104" t="s">
        <v>9</v>
      </c>
      <c r="B684" s="104" t="s">
        <v>52</v>
      </c>
      <c r="C684" s="106">
        <v>1130120260</v>
      </c>
      <c r="D684" s="24"/>
      <c r="E684" s="105" t="s">
        <v>230</v>
      </c>
      <c r="F684" s="21">
        <f>F685</f>
        <v>155.9</v>
      </c>
      <c r="G684" s="21">
        <f t="shared" si="252"/>
        <v>142.1</v>
      </c>
    </row>
    <row r="685" spans="1:7" ht="31.5">
      <c r="A685" s="104" t="s">
        <v>9</v>
      </c>
      <c r="B685" s="104" t="s">
        <v>52</v>
      </c>
      <c r="C685" s="106">
        <v>1130120260</v>
      </c>
      <c r="D685" s="104" t="s">
        <v>69</v>
      </c>
      <c r="E685" s="105" t="s">
        <v>92</v>
      </c>
      <c r="F685" s="21">
        <f>F686</f>
        <v>155.9</v>
      </c>
      <c r="G685" s="21">
        <f t="shared" si="252"/>
        <v>142.1</v>
      </c>
    </row>
    <row r="686" spans="1:7" ht="31.5">
      <c r="A686" s="104" t="s">
        <v>9</v>
      </c>
      <c r="B686" s="104" t="s">
        <v>52</v>
      </c>
      <c r="C686" s="106">
        <v>1130120260</v>
      </c>
      <c r="D686" s="104">
        <v>240</v>
      </c>
      <c r="E686" s="105" t="s">
        <v>245</v>
      </c>
      <c r="F686" s="21">
        <v>155.9</v>
      </c>
      <c r="G686" s="21">
        <v>142.1</v>
      </c>
    </row>
    <row r="687" spans="1:7" ht="31.5">
      <c r="A687" s="104" t="s">
        <v>9</v>
      </c>
      <c r="B687" s="104" t="s">
        <v>52</v>
      </c>
      <c r="C687" s="104">
        <v>1130200000</v>
      </c>
      <c r="D687" s="104"/>
      <c r="E687" s="105" t="s">
        <v>184</v>
      </c>
      <c r="F687" s="21">
        <f>F688</f>
        <v>89.6</v>
      </c>
      <c r="G687" s="21">
        <f t="shared" si="250"/>
        <v>33.5</v>
      </c>
    </row>
    <row r="688" spans="1:7" ht="31.5">
      <c r="A688" s="104" t="s">
        <v>9</v>
      </c>
      <c r="B688" s="104" t="s">
        <v>52</v>
      </c>
      <c r="C688" s="104">
        <v>1130220270</v>
      </c>
      <c r="D688" s="104"/>
      <c r="E688" s="105" t="s">
        <v>185</v>
      </c>
      <c r="F688" s="21">
        <f>F689</f>
        <v>89.6</v>
      </c>
      <c r="G688" s="21">
        <f t="shared" si="250"/>
        <v>33.5</v>
      </c>
    </row>
    <row r="689" spans="1:7" ht="31.5">
      <c r="A689" s="104" t="s">
        <v>9</v>
      </c>
      <c r="B689" s="104" t="s">
        <v>52</v>
      </c>
      <c r="C689" s="104">
        <v>1130220270</v>
      </c>
      <c r="D689" s="104" t="s">
        <v>69</v>
      </c>
      <c r="E689" s="105" t="s">
        <v>92</v>
      </c>
      <c r="F689" s="21">
        <f>F690</f>
        <v>89.6</v>
      </c>
      <c r="G689" s="21">
        <f t="shared" si="250"/>
        <v>33.5</v>
      </c>
    </row>
    <row r="690" spans="1:7" ht="31.5">
      <c r="A690" s="104" t="s">
        <v>9</v>
      </c>
      <c r="B690" s="104" t="s">
        <v>52</v>
      </c>
      <c r="C690" s="104">
        <v>1130220270</v>
      </c>
      <c r="D690" s="104">
        <v>240</v>
      </c>
      <c r="E690" s="105" t="s">
        <v>245</v>
      </c>
      <c r="F690" s="21">
        <f>162.1-72.5</f>
        <v>89.6</v>
      </c>
      <c r="G690" s="21">
        <v>33.5</v>
      </c>
    </row>
    <row r="691" spans="1:7" ht="12.75">
      <c r="A691" s="104" t="s">
        <v>9</v>
      </c>
      <c r="B691" s="104" t="s">
        <v>52</v>
      </c>
      <c r="C691" s="104">
        <v>9900000000</v>
      </c>
      <c r="D691" s="104"/>
      <c r="E691" s="105" t="s">
        <v>102</v>
      </c>
      <c r="F691" s="21">
        <f>F692</f>
        <v>6255.099999999999</v>
      </c>
      <c r="G691" s="21">
        <f aca="true" t="shared" si="253" ref="G691:G692">G692</f>
        <v>6253.2</v>
      </c>
    </row>
    <row r="692" spans="1:7" ht="47.25">
      <c r="A692" s="104" t="s">
        <v>9</v>
      </c>
      <c r="B692" s="104" t="s">
        <v>52</v>
      </c>
      <c r="C692" s="104">
        <v>9990000000</v>
      </c>
      <c r="D692" s="104"/>
      <c r="E692" s="105" t="s">
        <v>155</v>
      </c>
      <c r="F692" s="21">
        <f>F693</f>
        <v>6255.099999999999</v>
      </c>
      <c r="G692" s="21">
        <f t="shared" si="253"/>
        <v>6253.2</v>
      </c>
    </row>
    <row r="693" spans="1:7" ht="31.5">
      <c r="A693" s="104" t="s">
        <v>9</v>
      </c>
      <c r="B693" s="104" t="s">
        <v>52</v>
      </c>
      <c r="C693" s="104">
        <v>9990200000</v>
      </c>
      <c r="D693" s="24"/>
      <c r="E693" s="105" t="s">
        <v>115</v>
      </c>
      <c r="F693" s="21">
        <f>F694</f>
        <v>6255.099999999999</v>
      </c>
      <c r="G693" s="21">
        <f aca="true" t="shared" si="254" ref="G693">G694</f>
        <v>6253.2</v>
      </c>
    </row>
    <row r="694" spans="1:7" ht="47.25">
      <c r="A694" s="104" t="s">
        <v>9</v>
      </c>
      <c r="B694" s="104" t="s">
        <v>52</v>
      </c>
      <c r="C694" s="104">
        <v>9990225000</v>
      </c>
      <c r="D694" s="104"/>
      <c r="E694" s="105" t="s">
        <v>116</v>
      </c>
      <c r="F694" s="21">
        <f>F695+F699+F697</f>
        <v>6255.099999999999</v>
      </c>
      <c r="G694" s="21">
        <f aca="true" t="shared" si="255" ref="G694">G695+G699+G697</f>
        <v>6253.2</v>
      </c>
    </row>
    <row r="695" spans="1:7" ht="78.75">
      <c r="A695" s="104" t="s">
        <v>9</v>
      </c>
      <c r="B695" s="104" t="s">
        <v>52</v>
      </c>
      <c r="C695" s="104">
        <v>9990225000</v>
      </c>
      <c r="D695" s="104" t="s">
        <v>68</v>
      </c>
      <c r="E695" s="105" t="s">
        <v>1</v>
      </c>
      <c r="F695" s="21">
        <f>F696</f>
        <v>6187.4</v>
      </c>
      <c r="G695" s="21">
        <f aca="true" t="shared" si="256" ref="G695">G696</f>
        <v>6187.4</v>
      </c>
    </row>
    <row r="696" spans="1:7" ht="31.5">
      <c r="A696" s="104" t="s">
        <v>9</v>
      </c>
      <c r="B696" s="104" t="s">
        <v>52</v>
      </c>
      <c r="C696" s="104">
        <v>9990225000</v>
      </c>
      <c r="D696" s="104">
        <v>120</v>
      </c>
      <c r="E696" s="105" t="s">
        <v>246</v>
      </c>
      <c r="F696" s="21">
        <f>6198.2-41.5+30.7</f>
        <v>6187.4</v>
      </c>
      <c r="G696" s="21">
        <v>6187.4</v>
      </c>
    </row>
    <row r="697" spans="1:7" ht="12.75">
      <c r="A697" s="137" t="s">
        <v>9</v>
      </c>
      <c r="B697" s="137" t="s">
        <v>52</v>
      </c>
      <c r="C697" s="137">
        <v>9990225000</v>
      </c>
      <c r="D697" s="137">
        <v>300</v>
      </c>
      <c r="E697" s="138" t="s">
        <v>74</v>
      </c>
      <c r="F697" s="21">
        <f>F698</f>
        <v>41.5</v>
      </c>
      <c r="G697" s="21">
        <f aca="true" t="shared" si="257" ref="G697">G698</f>
        <v>41.5</v>
      </c>
    </row>
    <row r="698" spans="1:7" ht="31.5">
      <c r="A698" s="137" t="s">
        <v>9</v>
      </c>
      <c r="B698" s="137" t="s">
        <v>52</v>
      </c>
      <c r="C698" s="137">
        <v>9990225000</v>
      </c>
      <c r="D698" s="1" t="s">
        <v>98</v>
      </c>
      <c r="E698" s="46" t="s">
        <v>99</v>
      </c>
      <c r="F698" s="21">
        <v>41.5</v>
      </c>
      <c r="G698" s="21">
        <v>41.5</v>
      </c>
    </row>
    <row r="699" spans="1:7" ht="12.75">
      <c r="A699" s="104" t="s">
        <v>9</v>
      </c>
      <c r="B699" s="104" t="s">
        <v>52</v>
      </c>
      <c r="C699" s="104">
        <v>9990225000</v>
      </c>
      <c r="D699" s="104" t="s">
        <v>70</v>
      </c>
      <c r="E699" s="105" t="s">
        <v>71</v>
      </c>
      <c r="F699" s="21">
        <f>F700</f>
        <v>26.199999999999996</v>
      </c>
      <c r="G699" s="21">
        <f aca="true" t="shared" si="258" ref="G699">G700</f>
        <v>24.3</v>
      </c>
    </row>
    <row r="700" spans="1:7" ht="12.75">
      <c r="A700" s="104" t="s">
        <v>9</v>
      </c>
      <c r="B700" s="104" t="s">
        <v>52</v>
      </c>
      <c r="C700" s="104">
        <v>9990225000</v>
      </c>
      <c r="D700" s="104">
        <v>850</v>
      </c>
      <c r="E700" s="105" t="s">
        <v>97</v>
      </c>
      <c r="F700" s="21">
        <f>74.8-31.5-17.1</f>
        <v>26.199999999999996</v>
      </c>
      <c r="G700" s="21">
        <v>24.3</v>
      </c>
    </row>
    <row r="701" spans="1:7" ht="12.75">
      <c r="A701" s="104" t="s">
        <v>9</v>
      </c>
      <c r="B701" s="104" t="s">
        <v>39</v>
      </c>
      <c r="C701" s="104" t="s">
        <v>66</v>
      </c>
      <c r="D701" s="104" t="s">
        <v>66</v>
      </c>
      <c r="E701" s="105" t="s">
        <v>31</v>
      </c>
      <c r="F701" s="21">
        <f>F702</f>
        <v>9685.800000000001</v>
      </c>
      <c r="G701" s="21">
        <f aca="true" t="shared" si="259" ref="G701:G705">G702</f>
        <v>8049.1</v>
      </c>
    </row>
    <row r="702" spans="1:7" ht="12.75">
      <c r="A702" s="104" t="s">
        <v>9</v>
      </c>
      <c r="B702" s="104" t="s">
        <v>84</v>
      </c>
      <c r="C702" s="104" t="s">
        <v>66</v>
      </c>
      <c r="D702" s="104" t="s">
        <v>66</v>
      </c>
      <c r="E702" s="105" t="s">
        <v>85</v>
      </c>
      <c r="F702" s="21">
        <f>F703</f>
        <v>9685.800000000001</v>
      </c>
      <c r="G702" s="21">
        <f t="shared" si="259"/>
        <v>8049.1</v>
      </c>
    </row>
    <row r="703" spans="1:7" ht="47.25">
      <c r="A703" s="104" t="s">
        <v>9</v>
      </c>
      <c r="B703" s="104" t="s">
        <v>84</v>
      </c>
      <c r="C703" s="106">
        <v>1100000000</v>
      </c>
      <c r="D703" s="104"/>
      <c r="E703" s="105" t="s">
        <v>192</v>
      </c>
      <c r="F703" s="21">
        <f>F704</f>
        <v>9685.800000000001</v>
      </c>
      <c r="G703" s="21">
        <f t="shared" si="259"/>
        <v>8049.1</v>
      </c>
    </row>
    <row r="704" spans="1:7" ht="12.75">
      <c r="A704" s="104" t="s">
        <v>9</v>
      </c>
      <c r="B704" s="104" t="s">
        <v>84</v>
      </c>
      <c r="C704" s="104">
        <v>1110000000</v>
      </c>
      <c r="D704" s="104"/>
      <c r="E704" s="105" t="s">
        <v>175</v>
      </c>
      <c r="F704" s="21">
        <f>F705</f>
        <v>9685.800000000001</v>
      </c>
      <c r="G704" s="21">
        <f t="shared" si="259"/>
        <v>8049.1</v>
      </c>
    </row>
    <row r="705" spans="1:7" ht="47.25">
      <c r="A705" s="104" t="s">
        <v>9</v>
      </c>
      <c r="B705" s="104" t="s">
        <v>84</v>
      </c>
      <c r="C705" s="104">
        <v>1110200000</v>
      </c>
      <c r="D705" s="104"/>
      <c r="E705" s="105" t="s">
        <v>186</v>
      </c>
      <c r="F705" s="21">
        <f>F706</f>
        <v>9685.800000000001</v>
      </c>
      <c r="G705" s="21">
        <f t="shared" si="259"/>
        <v>8049.1</v>
      </c>
    </row>
    <row r="706" spans="1:7" ht="94.5">
      <c r="A706" s="104" t="s">
        <v>9</v>
      </c>
      <c r="B706" s="104" t="s">
        <v>84</v>
      </c>
      <c r="C706" s="104">
        <v>1110210500</v>
      </c>
      <c r="D706" s="104"/>
      <c r="E706" s="105" t="s">
        <v>238</v>
      </c>
      <c r="F706" s="21">
        <f>F707+F709</f>
        <v>9685.800000000001</v>
      </c>
      <c r="G706" s="21">
        <f aca="true" t="shared" si="260" ref="G706">G707+G709</f>
        <v>8049.1</v>
      </c>
    </row>
    <row r="707" spans="1:7" ht="31.5">
      <c r="A707" s="104" t="s">
        <v>9</v>
      </c>
      <c r="B707" s="104" t="s">
        <v>84</v>
      </c>
      <c r="C707" s="104">
        <v>1110210500</v>
      </c>
      <c r="D707" s="104" t="s">
        <v>69</v>
      </c>
      <c r="E707" s="105" t="s">
        <v>92</v>
      </c>
      <c r="F707" s="21">
        <f>F708</f>
        <v>236.2</v>
      </c>
      <c r="G707" s="21">
        <f aca="true" t="shared" si="261" ref="G707">G708</f>
        <v>186.5</v>
      </c>
    </row>
    <row r="708" spans="1:7" ht="31.5">
      <c r="A708" s="104" t="s">
        <v>9</v>
      </c>
      <c r="B708" s="104" t="s">
        <v>84</v>
      </c>
      <c r="C708" s="104">
        <v>1110210500</v>
      </c>
      <c r="D708" s="104">
        <v>240</v>
      </c>
      <c r="E708" s="105" t="s">
        <v>245</v>
      </c>
      <c r="F708" s="21">
        <v>236.2</v>
      </c>
      <c r="G708" s="21">
        <v>186.5</v>
      </c>
    </row>
    <row r="709" spans="1:7" ht="12.75">
      <c r="A709" s="104" t="s">
        <v>9</v>
      </c>
      <c r="B709" s="104" t="s">
        <v>84</v>
      </c>
      <c r="C709" s="104">
        <v>1110210500</v>
      </c>
      <c r="D709" s="104">
        <v>300</v>
      </c>
      <c r="E709" s="105" t="s">
        <v>74</v>
      </c>
      <c r="F709" s="21">
        <f>F710</f>
        <v>9449.6</v>
      </c>
      <c r="G709" s="21">
        <f aca="true" t="shared" si="262" ref="G709">G710</f>
        <v>7862.6</v>
      </c>
    </row>
    <row r="710" spans="1:7" ht="31.5">
      <c r="A710" s="104" t="s">
        <v>9</v>
      </c>
      <c r="B710" s="104" t="s">
        <v>84</v>
      </c>
      <c r="C710" s="104">
        <v>1110210500</v>
      </c>
      <c r="D710" s="1" t="s">
        <v>98</v>
      </c>
      <c r="E710" s="46" t="s">
        <v>99</v>
      </c>
      <c r="F710" s="21">
        <v>9449.6</v>
      </c>
      <c r="G710" s="21">
        <v>7862.6</v>
      </c>
    </row>
  </sheetData>
  <mergeCells count="2">
    <mergeCell ref="B1:G1"/>
    <mergeCell ref="A2:G2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0"/>
  <sheetViews>
    <sheetView zoomScale="90" zoomScaleNormal="90" workbookViewId="0" topLeftCell="A1">
      <selection activeCell="A1" sqref="A1:F1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6.375" style="50" customWidth="1"/>
    <col min="5" max="5" width="14.25390625" style="20" customWidth="1"/>
    <col min="6" max="6" width="13.00390625" style="20" customWidth="1"/>
    <col min="7" max="7" width="8.875" style="3" customWidth="1"/>
    <col min="8" max="8" width="13.875" style="29" bestFit="1" customWidth="1"/>
    <col min="9" max="9" width="10.375" style="29" bestFit="1" customWidth="1"/>
    <col min="10" max="10" width="12.875" style="29" customWidth="1"/>
    <col min="11" max="16384" width="8.875" style="3" customWidth="1"/>
  </cols>
  <sheetData>
    <row r="1" spans="1:6" ht="56.45" customHeight="1">
      <c r="A1" s="326" t="s">
        <v>1095</v>
      </c>
      <c r="B1" s="326"/>
      <c r="C1" s="326"/>
      <c r="D1" s="326"/>
      <c r="E1" s="326"/>
      <c r="F1" s="326"/>
    </row>
    <row r="2" spans="1:6" ht="16.9" customHeight="1">
      <c r="A2" s="101"/>
      <c r="B2" s="101"/>
      <c r="C2" s="101"/>
      <c r="D2" s="164"/>
      <c r="E2" s="164"/>
      <c r="F2" s="164"/>
    </row>
    <row r="3" spans="1:6" ht="54" customHeight="1">
      <c r="A3" s="329" t="s">
        <v>406</v>
      </c>
      <c r="B3" s="329"/>
      <c r="C3" s="329"/>
      <c r="D3" s="329"/>
      <c r="E3" s="329"/>
      <c r="F3" s="329"/>
    </row>
    <row r="4" spans="1:6" ht="47.25">
      <c r="A4" s="161" t="s">
        <v>36</v>
      </c>
      <c r="B4" s="161" t="s">
        <v>16</v>
      </c>
      <c r="C4" s="161" t="s">
        <v>17</v>
      </c>
      <c r="D4" s="161" t="s">
        <v>18</v>
      </c>
      <c r="E4" s="155" t="s">
        <v>402</v>
      </c>
      <c r="F4" s="11" t="s">
        <v>403</v>
      </c>
    </row>
    <row r="5" spans="1:6" ht="12.75">
      <c r="A5" s="107" t="s">
        <v>3</v>
      </c>
      <c r="B5" s="107" t="s">
        <v>77</v>
      </c>
      <c r="C5" s="107">
        <v>3</v>
      </c>
      <c r="D5" s="107" t="s">
        <v>79</v>
      </c>
      <c r="E5" s="107" t="s">
        <v>80</v>
      </c>
      <c r="F5" s="107" t="s">
        <v>81</v>
      </c>
    </row>
    <row r="6" spans="1:6" ht="12.75">
      <c r="A6" s="4" t="s">
        <v>66</v>
      </c>
      <c r="B6" s="4" t="s">
        <v>66</v>
      </c>
      <c r="C6" s="4" t="s">
        <v>66</v>
      </c>
      <c r="D6" s="5" t="s">
        <v>0</v>
      </c>
      <c r="E6" s="6">
        <f>E7+E141+E160+E220+E302+E482+E545+E594+E650+E664</f>
        <v>976067.5000000001</v>
      </c>
      <c r="F6" s="6">
        <f>F7+F141+F160+F220+F302+F482+F545+F594+F650+F664</f>
        <v>924798.6000000002</v>
      </c>
    </row>
    <row r="7" spans="1:6" ht="12.75">
      <c r="A7" s="4" t="s">
        <v>54</v>
      </c>
      <c r="B7" s="4" t="s">
        <v>66</v>
      </c>
      <c r="C7" s="4" t="s">
        <v>66</v>
      </c>
      <c r="D7" s="19" t="s">
        <v>20</v>
      </c>
      <c r="E7" s="6">
        <f>E8+E14+E23+E37+E43+E59+E65+E52</f>
        <v>79216.6</v>
      </c>
      <c r="F7" s="6">
        <f>F8+F14+F23+F37+F43+F59+F65+F52</f>
        <v>78030.6</v>
      </c>
    </row>
    <row r="8" spans="1:6" ht="31.5">
      <c r="A8" s="107" t="s">
        <v>43</v>
      </c>
      <c r="B8" s="107" t="s">
        <v>66</v>
      </c>
      <c r="C8" s="107" t="s">
        <v>66</v>
      </c>
      <c r="D8" s="108" t="s">
        <v>59</v>
      </c>
      <c r="E8" s="7">
        <f aca="true" t="shared" si="0" ref="E8:F12">E9</f>
        <v>2314.1000000000004</v>
      </c>
      <c r="F8" s="7">
        <f t="shared" si="0"/>
        <v>2314.1</v>
      </c>
    </row>
    <row r="9" spans="1:6" ht="12.75">
      <c r="A9" s="104" t="s">
        <v>43</v>
      </c>
      <c r="B9" s="104">
        <v>9900000000</v>
      </c>
      <c r="C9" s="104"/>
      <c r="D9" s="48" t="s">
        <v>102</v>
      </c>
      <c r="E9" s="17">
        <f t="shared" si="0"/>
        <v>2314.1000000000004</v>
      </c>
      <c r="F9" s="17">
        <f t="shared" si="0"/>
        <v>2314.1</v>
      </c>
    </row>
    <row r="10" spans="1:6" ht="31.5">
      <c r="A10" s="104" t="s">
        <v>43</v>
      </c>
      <c r="B10" s="104">
        <v>9990000000</v>
      </c>
      <c r="C10" s="104"/>
      <c r="D10" s="48" t="s">
        <v>155</v>
      </c>
      <c r="E10" s="17">
        <f t="shared" si="0"/>
        <v>2314.1000000000004</v>
      </c>
      <c r="F10" s="17">
        <f t="shared" si="0"/>
        <v>2314.1</v>
      </c>
    </row>
    <row r="11" spans="1:6" ht="12.75">
      <c r="A11" s="104" t="s">
        <v>43</v>
      </c>
      <c r="B11" s="104">
        <v>9990021000</v>
      </c>
      <c r="C11" s="24"/>
      <c r="D11" s="48" t="s">
        <v>156</v>
      </c>
      <c r="E11" s="17">
        <f t="shared" si="0"/>
        <v>2314.1000000000004</v>
      </c>
      <c r="F11" s="17">
        <f t="shared" si="0"/>
        <v>2314.1</v>
      </c>
    </row>
    <row r="12" spans="1:6" ht="63">
      <c r="A12" s="104" t="s">
        <v>43</v>
      </c>
      <c r="B12" s="104">
        <v>9990021000</v>
      </c>
      <c r="C12" s="104" t="s">
        <v>68</v>
      </c>
      <c r="D12" s="48" t="s">
        <v>1</v>
      </c>
      <c r="E12" s="17">
        <f t="shared" si="0"/>
        <v>2314.1000000000004</v>
      </c>
      <c r="F12" s="17">
        <f t="shared" si="0"/>
        <v>2314.1</v>
      </c>
    </row>
    <row r="13" spans="1:6" ht="31.5">
      <c r="A13" s="104" t="s">
        <v>43</v>
      </c>
      <c r="B13" s="104">
        <v>9990021000</v>
      </c>
      <c r="C13" s="104">
        <v>120</v>
      </c>
      <c r="D13" s="48" t="s">
        <v>246</v>
      </c>
      <c r="E13" s="17">
        <f>'№ 6 ведом'!F13</f>
        <v>2314.1000000000004</v>
      </c>
      <c r="F13" s="17">
        <f>'№ 6 ведом'!G13</f>
        <v>2314.1</v>
      </c>
    </row>
    <row r="14" spans="1:6" ht="47.25">
      <c r="A14" s="107" t="s">
        <v>44</v>
      </c>
      <c r="B14" s="107" t="s">
        <v>66</v>
      </c>
      <c r="C14" s="107" t="s">
        <v>66</v>
      </c>
      <c r="D14" s="108" t="s">
        <v>21</v>
      </c>
      <c r="E14" s="7">
        <f aca="true" t="shared" si="1" ref="E14:F17">E15</f>
        <v>2765.5</v>
      </c>
      <c r="F14" s="7">
        <f t="shared" si="1"/>
        <v>2755.4</v>
      </c>
    </row>
    <row r="15" spans="1:6" ht="12.75">
      <c r="A15" s="104" t="s">
        <v>44</v>
      </c>
      <c r="B15" s="106" t="s">
        <v>107</v>
      </c>
      <c r="C15" s="106" t="s">
        <v>66</v>
      </c>
      <c r="D15" s="105" t="s">
        <v>102</v>
      </c>
      <c r="E15" s="17">
        <f t="shared" si="1"/>
        <v>2765.5</v>
      </c>
      <c r="F15" s="17">
        <f t="shared" si="1"/>
        <v>2755.4</v>
      </c>
    </row>
    <row r="16" spans="1:6" ht="31.5">
      <c r="A16" s="104" t="s">
        <v>44</v>
      </c>
      <c r="B16" s="104">
        <v>9990000000</v>
      </c>
      <c r="C16" s="104"/>
      <c r="D16" s="48" t="s">
        <v>155</v>
      </c>
      <c r="E16" s="17">
        <f t="shared" si="1"/>
        <v>2765.5</v>
      </c>
      <c r="F16" s="17">
        <f t="shared" si="1"/>
        <v>2755.4</v>
      </c>
    </row>
    <row r="17" spans="1:6" ht="31.5">
      <c r="A17" s="104" t="s">
        <v>44</v>
      </c>
      <c r="B17" s="104">
        <v>9990100000</v>
      </c>
      <c r="C17" s="104"/>
      <c r="D17" s="48" t="s">
        <v>173</v>
      </c>
      <c r="E17" s="17">
        <f t="shared" si="1"/>
        <v>2765.5</v>
      </c>
      <c r="F17" s="17">
        <f t="shared" si="1"/>
        <v>2755.4</v>
      </c>
    </row>
    <row r="18" spans="1:6" ht="31.5">
      <c r="A18" s="104" t="s">
        <v>44</v>
      </c>
      <c r="B18" s="104">
        <v>9990123000</v>
      </c>
      <c r="C18" s="104"/>
      <c r="D18" s="48" t="s">
        <v>174</v>
      </c>
      <c r="E18" s="17">
        <f>E19+E21</f>
        <v>2765.5</v>
      </c>
      <c r="F18" s="17">
        <f>F19+F21</f>
        <v>2755.4</v>
      </c>
    </row>
    <row r="19" spans="1:6" ht="63">
      <c r="A19" s="104" t="s">
        <v>44</v>
      </c>
      <c r="B19" s="104">
        <v>9990123000</v>
      </c>
      <c r="C19" s="104" t="s">
        <v>68</v>
      </c>
      <c r="D19" s="48" t="s">
        <v>1</v>
      </c>
      <c r="E19" s="17">
        <f>E20</f>
        <v>2299.6</v>
      </c>
      <c r="F19" s="17">
        <f>F20</f>
        <v>2299.6</v>
      </c>
    </row>
    <row r="20" spans="1:6" ht="31.5">
      <c r="A20" s="104" t="s">
        <v>44</v>
      </c>
      <c r="B20" s="104">
        <v>9990123000</v>
      </c>
      <c r="C20" s="104">
        <v>120</v>
      </c>
      <c r="D20" s="48" t="s">
        <v>246</v>
      </c>
      <c r="E20" s="17">
        <f>'№ 6 ведом'!F555</f>
        <v>2299.6</v>
      </c>
      <c r="F20" s="17">
        <f>'№ 6 ведом'!G555</f>
        <v>2299.6</v>
      </c>
    </row>
    <row r="21" spans="1:6" ht="31.5">
      <c r="A21" s="104" t="s">
        <v>44</v>
      </c>
      <c r="B21" s="104">
        <v>9990123000</v>
      </c>
      <c r="C21" s="106" t="s">
        <v>69</v>
      </c>
      <c r="D21" s="105" t="s">
        <v>92</v>
      </c>
      <c r="E21" s="17">
        <f>E22</f>
        <v>465.9</v>
      </c>
      <c r="F21" s="17">
        <f>F22</f>
        <v>455.8</v>
      </c>
    </row>
    <row r="22" spans="1:6" ht="31.5">
      <c r="A22" s="104" t="s">
        <v>44</v>
      </c>
      <c r="B22" s="104">
        <v>9990123000</v>
      </c>
      <c r="C22" s="104">
        <v>240</v>
      </c>
      <c r="D22" s="105" t="s">
        <v>245</v>
      </c>
      <c r="E22" s="17">
        <f>'№ 6 ведом'!F557</f>
        <v>465.9</v>
      </c>
      <c r="F22" s="17">
        <f>'№ 6 ведом'!G557</f>
        <v>455.8</v>
      </c>
    </row>
    <row r="23" spans="1:6" ht="47.25">
      <c r="A23" s="104" t="s">
        <v>45</v>
      </c>
      <c r="B23" s="104" t="s">
        <v>66</v>
      </c>
      <c r="C23" s="104" t="s">
        <v>66</v>
      </c>
      <c r="D23" s="48" t="s">
        <v>22</v>
      </c>
      <c r="E23" s="17">
        <f aca="true" t="shared" si="2" ref="E23:F25">E24</f>
        <v>24237.199999999997</v>
      </c>
      <c r="F23" s="17">
        <f t="shared" si="2"/>
        <v>24237.199999999997</v>
      </c>
    </row>
    <row r="24" spans="1:6" ht="12.75">
      <c r="A24" s="104" t="s">
        <v>45</v>
      </c>
      <c r="B24" s="104">
        <v>9900000000</v>
      </c>
      <c r="C24" s="104"/>
      <c r="D24" s="48" t="s">
        <v>102</v>
      </c>
      <c r="E24" s="17">
        <f t="shared" si="2"/>
        <v>24237.199999999997</v>
      </c>
      <c r="F24" s="17">
        <f t="shared" si="2"/>
        <v>24237.199999999997</v>
      </c>
    </row>
    <row r="25" spans="1:6" ht="31.5">
      <c r="A25" s="104" t="s">
        <v>45</v>
      </c>
      <c r="B25" s="104">
        <v>9990000000</v>
      </c>
      <c r="C25" s="104"/>
      <c r="D25" s="48" t="s">
        <v>155</v>
      </c>
      <c r="E25" s="17">
        <f t="shared" si="2"/>
        <v>24237.199999999997</v>
      </c>
      <c r="F25" s="17">
        <f t="shared" si="2"/>
        <v>24237.199999999997</v>
      </c>
    </row>
    <row r="26" spans="1:6" ht="31.5">
      <c r="A26" s="104" t="s">
        <v>45</v>
      </c>
      <c r="B26" s="104">
        <v>9990200000</v>
      </c>
      <c r="C26" s="24"/>
      <c r="D26" s="48" t="s">
        <v>115</v>
      </c>
      <c r="E26" s="17">
        <f>E32+E27</f>
        <v>24237.199999999997</v>
      </c>
      <c r="F26" s="17">
        <f>F32+F27</f>
        <v>24237.199999999997</v>
      </c>
    </row>
    <row r="27" spans="1:6" ht="63">
      <c r="A27" s="104" t="s">
        <v>45</v>
      </c>
      <c r="B27" s="104">
        <v>9990210510</v>
      </c>
      <c r="C27" s="104"/>
      <c r="D27" s="48" t="s">
        <v>157</v>
      </c>
      <c r="E27" s="17">
        <f>E28+E30</f>
        <v>668.0999999999999</v>
      </c>
      <c r="F27" s="17">
        <f>F28+F30</f>
        <v>668.0999999999999</v>
      </c>
    </row>
    <row r="28" spans="1:6" ht="63">
      <c r="A28" s="104" t="s">
        <v>45</v>
      </c>
      <c r="B28" s="104">
        <v>9990210510</v>
      </c>
      <c r="C28" s="104" t="s">
        <v>68</v>
      </c>
      <c r="D28" s="48" t="s">
        <v>1</v>
      </c>
      <c r="E28" s="17">
        <f>E29</f>
        <v>661.8</v>
      </c>
      <c r="F28" s="17">
        <f>F29</f>
        <v>661.8</v>
      </c>
    </row>
    <row r="29" spans="1:6" ht="31.5">
      <c r="A29" s="104" t="s">
        <v>45</v>
      </c>
      <c r="B29" s="104">
        <v>9990210510</v>
      </c>
      <c r="C29" s="104">
        <v>120</v>
      </c>
      <c r="D29" s="48" t="s">
        <v>246</v>
      </c>
      <c r="E29" s="17">
        <f>'№ 6 ведом'!F20</f>
        <v>661.8</v>
      </c>
      <c r="F29" s="17">
        <f>'№ 6 ведом'!G20</f>
        <v>661.8</v>
      </c>
    </row>
    <row r="30" spans="1:6" ht="31.5">
      <c r="A30" s="104" t="s">
        <v>45</v>
      </c>
      <c r="B30" s="104">
        <v>9990210510</v>
      </c>
      <c r="C30" s="106" t="s">
        <v>69</v>
      </c>
      <c r="D30" s="105" t="s">
        <v>92</v>
      </c>
      <c r="E30" s="17">
        <f>E31</f>
        <v>6.3</v>
      </c>
      <c r="F30" s="17">
        <f>F31</f>
        <v>6.3</v>
      </c>
    </row>
    <row r="31" spans="1:6" ht="31.5">
      <c r="A31" s="104" t="s">
        <v>45</v>
      </c>
      <c r="B31" s="104">
        <v>9990210510</v>
      </c>
      <c r="C31" s="104">
        <v>240</v>
      </c>
      <c r="D31" s="105" t="s">
        <v>245</v>
      </c>
      <c r="E31" s="17">
        <f>'№ 6 ведом'!F22</f>
        <v>6.3</v>
      </c>
      <c r="F31" s="17">
        <f>'№ 6 ведом'!G22</f>
        <v>6.3</v>
      </c>
    </row>
    <row r="32" spans="1:6" ht="47.25">
      <c r="A32" s="104" t="s">
        <v>45</v>
      </c>
      <c r="B32" s="104">
        <v>9990225000</v>
      </c>
      <c r="C32" s="104"/>
      <c r="D32" s="48" t="s">
        <v>116</v>
      </c>
      <c r="E32" s="17">
        <f>E33+E35</f>
        <v>23569.1</v>
      </c>
      <c r="F32" s="17">
        <f>F33+F35</f>
        <v>23569.1</v>
      </c>
    </row>
    <row r="33" spans="1:6" ht="63">
      <c r="A33" s="104" t="s">
        <v>45</v>
      </c>
      <c r="B33" s="104">
        <v>9990225000</v>
      </c>
      <c r="C33" s="104" t="s">
        <v>68</v>
      </c>
      <c r="D33" s="48" t="s">
        <v>1</v>
      </c>
      <c r="E33" s="17">
        <f>E34</f>
        <v>23489.6</v>
      </c>
      <c r="F33" s="17">
        <f>F34</f>
        <v>23489.6</v>
      </c>
    </row>
    <row r="34" spans="1:6" ht="31.5">
      <c r="A34" s="104" t="s">
        <v>45</v>
      </c>
      <c r="B34" s="104">
        <v>9990225000</v>
      </c>
      <c r="C34" s="104">
        <v>120</v>
      </c>
      <c r="D34" s="48" t="s">
        <v>246</v>
      </c>
      <c r="E34" s="17">
        <f>'№ 6 ведом'!F25</f>
        <v>23489.6</v>
      </c>
      <c r="F34" s="17">
        <f>'№ 6 ведом'!G25</f>
        <v>23489.6</v>
      </c>
    </row>
    <row r="35" spans="1:6" ht="12.75">
      <c r="A35" s="104" t="s">
        <v>45</v>
      </c>
      <c r="B35" s="104">
        <v>9990225000</v>
      </c>
      <c r="C35" s="104" t="s">
        <v>70</v>
      </c>
      <c r="D35" s="48" t="s">
        <v>71</v>
      </c>
      <c r="E35" s="17">
        <f>E36</f>
        <v>79.5</v>
      </c>
      <c r="F35" s="17">
        <f>F36</f>
        <v>79.5</v>
      </c>
    </row>
    <row r="36" spans="1:6" ht="12.75">
      <c r="A36" s="104" t="s">
        <v>45</v>
      </c>
      <c r="B36" s="104">
        <v>9990225000</v>
      </c>
      <c r="C36" s="104">
        <v>850</v>
      </c>
      <c r="D36" s="48" t="s">
        <v>97</v>
      </c>
      <c r="E36" s="17">
        <f>'№ 6 ведом'!F27</f>
        <v>79.5</v>
      </c>
      <c r="F36" s="17">
        <f>'№ 6 ведом'!G27</f>
        <v>79.5</v>
      </c>
    </row>
    <row r="37" spans="1:6" ht="12.75">
      <c r="A37" s="9" t="s">
        <v>163</v>
      </c>
      <c r="B37" s="10"/>
      <c r="C37" s="12"/>
      <c r="D37" s="42" t="s">
        <v>164</v>
      </c>
      <c r="E37" s="17">
        <f aca="true" t="shared" si="3" ref="E37:F41">E38</f>
        <v>32.2</v>
      </c>
      <c r="F37" s="17">
        <f t="shared" si="3"/>
        <v>31.9</v>
      </c>
    </row>
    <row r="38" spans="1:6" ht="12.75">
      <c r="A38" s="9" t="s">
        <v>163</v>
      </c>
      <c r="B38" s="104">
        <v>9900000000</v>
      </c>
      <c r="C38" s="104"/>
      <c r="D38" s="48" t="s">
        <v>102</v>
      </c>
      <c r="E38" s="17">
        <f t="shared" si="3"/>
        <v>32.2</v>
      </c>
      <c r="F38" s="17">
        <f t="shared" si="3"/>
        <v>31.9</v>
      </c>
    </row>
    <row r="39" spans="1:6" ht="31.5">
      <c r="A39" s="9" t="s">
        <v>163</v>
      </c>
      <c r="B39" s="104">
        <v>9930000000</v>
      </c>
      <c r="C39" s="104"/>
      <c r="D39" s="48" t="s">
        <v>165</v>
      </c>
      <c r="E39" s="17">
        <f t="shared" si="3"/>
        <v>32.2</v>
      </c>
      <c r="F39" s="17">
        <f t="shared" si="3"/>
        <v>31.9</v>
      </c>
    </row>
    <row r="40" spans="1:6" ht="47.25">
      <c r="A40" s="9" t="s">
        <v>163</v>
      </c>
      <c r="B40" s="104">
        <v>9930051200</v>
      </c>
      <c r="C40" s="104"/>
      <c r="D40" s="48" t="s">
        <v>166</v>
      </c>
      <c r="E40" s="17">
        <f t="shared" si="3"/>
        <v>32.2</v>
      </c>
      <c r="F40" s="17">
        <f t="shared" si="3"/>
        <v>31.9</v>
      </c>
    </row>
    <row r="41" spans="1:6" ht="31.5">
      <c r="A41" s="9" t="s">
        <v>163</v>
      </c>
      <c r="B41" s="104">
        <v>9930051200</v>
      </c>
      <c r="C41" s="104" t="s">
        <v>69</v>
      </c>
      <c r="D41" s="48" t="s">
        <v>92</v>
      </c>
      <c r="E41" s="17">
        <f t="shared" si="3"/>
        <v>32.2</v>
      </c>
      <c r="F41" s="17">
        <f t="shared" si="3"/>
        <v>31.9</v>
      </c>
    </row>
    <row r="42" spans="1:6" ht="31.5">
      <c r="A42" s="9" t="s">
        <v>163</v>
      </c>
      <c r="B42" s="104">
        <v>9930051200</v>
      </c>
      <c r="C42" s="104">
        <v>240</v>
      </c>
      <c r="D42" s="48" t="s">
        <v>245</v>
      </c>
      <c r="E42" s="17">
        <f>'№ 6 ведом'!F33</f>
        <v>32.2</v>
      </c>
      <c r="F42" s="17">
        <f>'№ 6 ведом'!G33</f>
        <v>31.9</v>
      </c>
    </row>
    <row r="43" spans="1:6" ht="47.25">
      <c r="A43" s="104" t="s">
        <v>46</v>
      </c>
      <c r="B43" s="104" t="s">
        <v>66</v>
      </c>
      <c r="C43" s="104" t="s">
        <v>66</v>
      </c>
      <c r="D43" s="48" t="s">
        <v>7</v>
      </c>
      <c r="E43" s="17">
        <f aca="true" t="shared" si="4" ref="E43:F46">E44</f>
        <v>7344.4</v>
      </c>
      <c r="F43" s="17">
        <f t="shared" si="4"/>
        <v>7344.4</v>
      </c>
    </row>
    <row r="44" spans="1:6" ht="12.75">
      <c r="A44" s="104" t="s">
        <v>46</v>
      </c>
      <c r="B44" s="104">
        <v>9900000000</v>
      </c>
      <c r="C44" s="104"/>
      <c r="D44" s="48" t="s">
        <v>102</v>
      </c>
      <c r="E44" s="17">
        <f t="shared" si="4"/>
        <v>7344.4</v>
      </c>
      <c r="F44" s="17">
        <f t="shared" si="4"/>
        <v>7344.4</v>
      </c>
    </row>
    <row r="45" spans="1:6" ht="31.5">
      <c r="A45" s="104" t="s">
        <v>46</v>
      </c>
      <c r="B45" s="104">
        <v>9990000000</v>
      </c>
      <c r="C45" s="104"/>
      <c r="D45" s="48" t="s">
        <v>155</v>
      </c>
      <c r="E45" s="17">
        <f t="shared" si="4"/>
        <v>7344.4</v>
      </c>
      <c r="F45" s="17">
        <f t="shared" si="4"/>
        <v>7344.4</v>
      </c>
    </row>
    <row r="46" spans="1:6" ht="31.5">
      <c r="A46" s="104" t="s">
        <v>46</v>
      </c>
      <c r="B46" s="104">
        <v>9990200000</v>
      </c>
      <c r="C46" s="24"/>
      <c r="D46" s="48" t="s">
        <v>115</v>
      </c>
      <c r="E46" s="17">
        <f t="shared" si="4"/>
        <v>7344.4</v>
      </c>
      <c r="F46" s="17">
        <f t="shared" si="4"/>
        <v>7344.4</v>
      </c>
    </row>
    <row r="47" spans="1:6" ht="47.25">
      <c r="A47" s="104" t="s">
        <v>46</v>
      </c>
      <c r="B47" s="104">
        <v>9990225000</v>
      </c>
      <c r="C47" s="104"/>
      <c r="D47" s="48" t="s">
        <v>116</v>
      </c>
      <c r="E47" s="17">
        <f>E48+E50</f>
        <v>7344.4</v>
      </c>
      <c r="F47" s="17">
        <f>F48+F50</f>
        <v>7344.4</v>
      </c>
    </row>
    <row r="48" spans="1:6" ht="63">
      <c r="A48" s="104" t="s">
        <v>46</v>
      </c>
      <c r="B48" s="104">
        <v>9990225000</v>
      </c>
      <c r="C48" s="104" t="s">
        <v>68</v>
      </c>
      <c r="D48" s="48" t="s">
        <v>1</v>
      </c>
      <c r="E48" s="17">
        <f>E49</f>
        <v>7279</v>
      </c>
      <c r="F48" s="17">
        <f>F49</f>
        <v>7279</v>
      </c>
    </row>
    <row r="49" spans="1:6" ht="31.5">
      <c r="A49" s="104" t="s">
        <v>46</v>
      </c>
      <c r="B49" s="104">
        <v>9990225000</v>
      </c>
      <c r="C49" s="104">
        <v>120</v>
      </c>
      <c r="D49" s="48" t="s">
        <v>246</v>
      </c>
      <c r="E49" s="17">
        <f>'№ 6 ведом'!F480</f>
        <v>7279</v>
      </c>
      <c r="F49" s="17">
        <f>'№ 6 ведом'!G480</f>
        <v>7279</v>
      </c>
    </row>
    <row r="50" spans="1:6" ht="12.75">
      <c r="A50" s="104" t="s">
        <v>46</v>
      </c>
      <c r="B50" s="104">
        <v>9990225000</v>
      </c>
      <c r="C50" s="104" t="s">
        <v>70</v>
      </c>
      <c r="D50" s="48" t="s">
        <v>71</v>
      </c>
      <c r="E50" s="17">
        <f>E51</f>
        <v>65.4</v>
      </c>
      <c r="F50" s="17">
        <f>F51</f>
        <v>65.4</v>
      </c>
    </row>
    <row r="51" spans="1:6" ht="12.75">
      <c r="A51" s="104" t="s">
        <v>46</v>
      </c>
      <c r="B51" s="104">
        <v>9990225000</v>
      </c>
      <c r="C51" s="104">
        <v>850</v>
      </c>
      <c r="D51" s="48" t="s">
        <v>97</v>
      </c>
      <c r="E51" s="17">
        <f>'№ 6 ведом'!F482</f>
        <v>65.4</v>
      </c>
      <c r="F51" s="17">
        <f>'№ 6 ведом'!G482</f>
        <v>65.4</v>
      </c>
    </row>
    <row r="52" spans="1:6" ht="12.75">
      <c r="A52" s="22" t="s">
        <v>234</v>
      </c>
      <c r="B52" s="104"/>
      <c r="C52" s="104"/>
      <c r="D52" s="108" t="s">
        <v>235</v>
      </c>
      <c r="E52" s="17">
        <f aca="true" t="shared" si="5" ref="E52:F57">E53</f>
        <v>88.6</v>
      </c>
      <c r="F52" s="17">
        <f t="shared" si="5"/>
        <v>88.6</v>
      </c>
    </row>
    <row r="53" spans="1:6" ht="47.25">
      <c r="A53" s="9" t="s">
        <v>234</v>
      </c>
      <c r="B53" s="106">
        <v>1200000000</v>
      </c>
      <c r="C53" s="104"/>
      <c r="D53" s="105" t="s">
        <v>187</v>
      </c>
      <c r="E53" s="17">
        <f t="shared" si="5"/>
        <v>88.6</v>
      </c>
      <c r="F53" s="17">
        <f t="shared" si="5"/>
        <v>88.6</v>
      </c>
    </row>
    <row r="54" spans="1:6" ht="31.5">
      <c r="A54" s="9" t="s">
        <v>234</v>
      </c>
      <c r="B54" s="104">
        <v>1240000000</v>
      </c>
      <c r="C54" s="104"/>
      <c r="D54" s="105" t="s">
        <v>133</v>
      </c>
      <c r="E54" s="17">
        <f t="shared" si="5"/>
        <v>88.6</v>
      </c>
      <c r="F54" s="17">
        <f t="shared" si="5"/>
        <v>88.6</v>
      </c>
    </row>
    <row r="55" spans="1:6" ht="31.5">
      <c r="A55" s="22" t="s">
        <v>234</v>
      </c>
      <c r="B55" s="104">
        <v>1240500000</v>
      </c>
      <c r="C55" s="104"/>
      <c r="D55" s="105" t="s">
        <v>134</v>
      </c>
      <c r="E55" s="17">
        <f t="shared" si="5"/>
        <v>88.6</v>
      </c>
      <c r="F55" s="17">
        <f t="shared" si="5"/>
        <v>88.6</v>
      </c>
    </row>
    <row r="56" spans="1:6" ht="31.5">
      <c r="A56" s="9" t="s">
        <v>234</v>
      </c>
      <c r="B56" s="104">
        <v>1240520410</v>
      </c>
      <c r="C56" s="104"/>
      <c r="D56" s="105" t="s">
        <v>222</v>
      </c>
      <c r="E56" s="17">
        <f t="shared" si="5"/>
        <v>88.6</v>
      </c>
      <c r="F56" s="17">
        <f t="shared" si="5"/>
        <v>88.6</v>
      </c>
    </row>
    <row r="57" spans="1:6" ht="12.75">
      <c r="A57" s="9" t="s">
        <v>234</v>
      </c>
      <c r="B57" s="104">
        <v>1240520410</v>
      </c>
      <c r="C57" s="104" t="s">
        <v>70</v>
      </c>
      <c r="D57" s="105" t="s">
        <v>71</v>
      </c>
      <c r="E57" s="17">
        <f t="shared" si="5"/>
        <v>88.6</v>
      </c>
      <c r="F57" s="17">
        <f t="shared" si="5"/>
        <v>88.6</v>
      </c>
    </row>
    <row r="58" spans="1:6" ht="31.5">
      <c r="A58" s="9" t="s">
        <v>234</v>
      </c>
      <c r="B58" s="104">
        <v>1240520410</v>
      </c>
      <c r="C58" s="104">
        <v>860</v>
      </c>
      <c r="D58" s="105" t="s">
        <v>248</v>
      </c>
      <c r="E58" s="17">
        <f>'№ 6 ведом'!F40</f>
        <v>88.6</v>
      </c>
      <c r="F58" s="17">
        <f>'№ 6 ведом'!G40</f>
        <v>88.6</v>
      </c>
    </row>
    <row r="59" spans="1:6" ht="12.75">
      <c r="A59" s="104" t="s">
        <v>47</v>
      </c>
      <c r="B59" s="104"/>
      <c r="C59" s="104"/>
      <c r="D59" s="48" t="s">
        <v>8</v>
      </c>
      <c r="E59" s="17">
        <f aca="true" t="shared" si="6" ref="E59:F63">E60</f>
        <v>800</v>
      </c>
      <c r="F59" s="17">
        <f t="shared" si="6"/>
        <v>0</v>
      </c>
    </row>
    <row r="60" spans="1:6" ht="12.75">
      <c r="A60" s="104" t="s">
        <v>47</v>
      </c>
      <c r="B60" s="104">
        <v>9900000000</v>
      </c>
      <c r="C60" s="104"/>
      <c r="D60" s="48" t="s">
        <v>102</v>
      </c>
      <c r="E60" s="17">
        <f t="shared" si="6"/>
        <v>800</v>
      </c>
      <c r="F60" s="17">
        <f t="shared" si="6"/>
        <v>0</v>
      </c>
    </row>
    <row r="61" spans="1:6" ht="12.75">
      <c r="A61" s="104" t="s">
        <v>47</v>
      </c>
      <c r="B61" s="104">
        <v>9910000000</v>
      </c>
      <c r="C61" s="104"/>
      <c r="D61" s="48" t="s">
        <v>8</v>
      </c>
      <c r="E61" s="17">
        <f t="shared" si="6"/>
        <v>800</v>
      </c>
      <c r="F61" s="17">
        <f t="shared" si="6"/>
        <v>0</v>
      </c>
    </row>
    <row r="62" spans="1:6" ht="31.5">
      <c r="A62" s="104" t="s">
        <v>47</v>
      </c>
      <c r="B62" s="104">
        <v>9910020000</v>
      </c>
      <c r="C62" s="104"/>
      <c r="D62" s="48" t="s">
        <v>170</v>
      </c>
      <c r="E62" s="17">
        <f t="shared" si="6"/>
        <v>800</v>
      </c>
      <c r="F62" s="17">
        <f t="shared" si="6"/>
        <v>0</v>
      </c>
    </row>
    <row r="63" spans="1:6" ht="12.75">
      <c r="A63" s="104" t="s">
        <v>47</v>
      </c>
      <c r="B63" s="104">
        <v>9910020000</v>
      </c>
      <c r="C63" s="106" t="s">
        <v>70</v>
      </c>
      <c r="D63" s="105" t="s">
        <v>71</v>
      </c>
      <c r="E63" s="17">
        <f t="shared" si="6"/>
        <v>800</v>
      </c>
      <c r="F63" s="17">
        <f t="shared" si="6"/>
        <v>0</v>
      </c>
    </row>
    <row r="64" spans="1:6" ht="12.75">
      <c r="A64" s="104" t="s">
        <v>47</v>
      </c>
      <c r="B64" s="104">
        <v>9910020000</v>
      </c>
      <c r="C64" s="2" t="s">
        <v>171</v>
      </c>
      <c r="D64" s="46" t="s">
        <v>172</v>
      </c>
      <c r="E64" s="17">
        <f>'№ 6 ведом'!F488</f>
        <v>800</v>
      </c>
      <c r="F64" s="17">
        <f>'№ 6 ведом'!G488</f>
        <v>0</v>
      </c>
    </row>
    <row r="65" spans="1:6" ht="12.75">
      <c r="A65" s="107" t="s">
        <v>60</v>
      </c>
      <c r="B65" s="107" t="s">
        <v>66</v>
      </c>
      <c r="C65" s="107" t="s">
        <v>66</v>
      </c>
      <c r="D65" s="108" t="s">
        <v>23</v>
      </c>
      <c r="E65" s="7">
        <f>E66+E84+E90+E116</f>
        <v>41634.600000000006</v>
      </c>
      <c r="F65" s="7">
        <f>F66+F84+F90+F116</f>
        <v>41259</v>
      </c>
    </row>
    <row r="66" spans="1:6" ht="47.25">
      <c r="A66" s="104" t="s">
        <v>60</v>
      </c>
      <c r="B66" s="106">
        <v>1200000000</v>
      </c>
      <c r="C66" s="104"/>
      <c r="D66" s="48" t="s">
        <v>187</v>
      </c>
      <c r="E66" s="17">
        <f>E67</f>
        <v>700.5</v>
      </c>
      <c r="F66" s="17">
        <f>F67</f>
        <v>665</v>
      </c>
    </row>
    <row r="67" spans="1:6" ht="31.5">
      <c r="A67" s="104" t="s">
        <v>60</v>
      </c>
      <c r="B67" s="104">
        <v>1240000000</v>
      </c>
      <c r="C67" s="104"/>
      <c r="D67" s="48" t="s">
        <v>133</v>
      </c>
      <c r="E67" s="17">
        <f>E68+E77</f>
        <v>700.5</v>
      </c>
      <c r="F67" s="17">
        <f>F68+F77</f>
        <v>665</v>
      </c>
    </row>
    <row r="68" spans="1:6" ht="31.5">
      <c r="A68" s="104" t="s">
        <v>60</v>
      </c>
      <c r="B68" s="104">
        <v>1240200000</v>
      </c>
      <c r="C68" s="104"/>
      <c r="D68" s="48" t="s">
        <v>152</v>
      </c>
      <c r="E68" s="17">
        <f>E69+E74</f>
        <v>121.79999999999998</v>
      </c>
      <c r="F68" s="17">
        <f>F69+F74</f>
        <v>96.2</v>
      </c>
    </row>
    <row r="69" spans="1:6" ht="12.75">
      <c r="A69" s="104" t="s">
        <v>60</v>
      </c>
      <c r="B69" s="104">
        <v>1240220340</v>
      </c>
      <c r="C69" s="104"/>
      <c r="D69" s="48" t="s">
        <v>158</v>
      </c>
      <c r="E69" s="17">
        <f>E70+E72</f>
        <v>115.19999999999999</v>
      </c>
      <c r="F69" s="17">
        <f>F70+F72</f>
        <v>89.7</v>
      </c>
    </row>
    <row r="70" spans="1:6" ht="31.5">
      <c r="A70" s="104" t="s">
        <v>60</v>
      </c>
      <c r="B70" s="104">
        <v>1240220340</v>
      </c>
      <c r="C70" s="106" t="s">
        <v>69</v>
      </c>
      <c r="D70" s="105" t="s">
        <v>92</v>
      </c>
      <c r="E70" s="17">
        <f>E71</f>
        <v>90.5</v>
      </c>
      <c r="F70" s="17">
        <f>F71</f>
        <v>89.7</v>
      </c>
    </row>
    <row r="71" spans="1:6" ht="31.5">
      <c r="A71" s="104" t="s">
        <v>60</v>
      </c>
      <c r="B71" s="104">
        <v>1240220340</v>
      </c>
      <c r="C71" s="104">
        <v>240</v>
      </c>
      <c r="D71" s="48" t="s">
        <v>245</v>
      </c>
      <c r="E71" s="17">
        <f>'№ 6 ведом'!F47</f>
        <v>90.5</v>
      </c>
      <c r="F71" s="17">
        <f>'№ 6 ведом'!G47</f>
        <v>89.7</v>
      </c>
    </row>
    <row r="72" spans="1:6" ht="12.75">
      <c r="A72" s="104" t="s">
        <v>60</v>
      </c>
      <c r="B72" s="104">
        <v>1240220340</v>
      </c>
      <c r="C72" s="106" t="s">
        <v>73</v>
      </c>
      <c r="D72" s="105" t="s">
        <v>74</v>
      </c>
      <c r="E72" s="17">
        <f>E73</f>
        <v>24.699999999999996</v>
      </c>
      <c r="F72" s="17">
        <f>F73</f>
        <v>0</v>
      </c>
    </row>
    <row r="73" spans="1:6" ht="12.75">
      <c r="A73" s="104" t="s">
        <v>60</v>
      </c>
      <c r="B73" s="104">
        <v>1240220340</v>
      </c>
      <c r="C73" s="104">
        <v>350</v>
      </c>
      <c r="D73" s="46" t="s">
        <v>159</v>
      </c>
      <c r="E73" s="17">
        <f>'№ 6 ведом'!F49</f>
        <v>24.699999999999996</v>
      </c>
      <c r="F73" s="17">
        <f>'№ 6 ведом'!G49</f>
        <v>0</v>
      </c>
    </row>
    <row r="74" spans="1:6" ht="31.5">
      <c r="A74" s="104" t="s">
        <v>60</v>
      </c>
      <c r="B74" s="104">
        <v>1240220360</v>
      </c>
      <c r="C74" s="104"/>
      <c r="D74" s="46" t="s">
        <v>249</v>
      </c>
      <c r="E74" s="17">
        <f>E75</f>
        <v>6.6</v>
      </c>
      <c r="F74" s="17">
        <f>F75</f>
        <v>6.5</v>
      </c>
    </row>
    <row r="75" spans="1:6" ht="12.75">
      <c r="A75" s="104" t="s">
        <v>60</v>
      </c>
      <c r="B75" s="104">
        <v>1240220360</v>
      </c>
      <c r="C75" s="106" t="s">
        <v>73</v>
      </c>
      <c r="D75" s="105" t="s">
        <v>74</v>
      </c>
      <c r="E75" s="17">
        <f>E76</f>
        <v>6.6</v>
      </c>
      <c r="F75" s="17">
        <f>F76</f>
        <v>6.5</v>
      </c>
    </row>
    <row r="76" spans="1:6" ht="12.75">
      <c r="A76" s="104" t="s">
        <v>60</v>
      </c>
      <c r="B76" s="104">
        <v>1240220360</v>
      </c>
      <c r="C76" s="104">
        <v>350</v>
      </c>
      <c r="D76" s="46" t="s">
        <v>159</v>
      </c>
      <c r="E76" s="17">
        <f>'№ 6 ведом'!F52</f>
        <v>6.6</v>
      </c>
      <c r="F76" s="17">
        <f>'№ 6 ведом'!G52</f>
        <v>6.5</v>
      </c>
    </row>
    <row r="77" spans="1:6" ht="31.5">
      <c r="A77" s="104" t="s">
        <v>60</v>
      </c>
      <c r="B77" s="104">
        <v>1240500000</v>
      </c>
      <c r="C77" s="104"/>
      <c r="D77" s="48" t="s">
        <v>134</v>
      </c>
      <c r="E77" s="17">
        <f>E78+E81</f>
        <v>578.7</v>
      </c>
      <c r="F77" s="17">
        <f>F78+F81</f>
        <v>568.8</v>
      </c>
    </row>
    <row r="78" spans="1:6" ht="31.5">
      <c r="A78" s="104" t="s">
        <v>60</v>
      </c>
      <c r="B78" s="104">
        <v>1240520410</v>
      </c>
      <c r="C78" s="104"/>
      <c r="D78" s="48" t="s">
        <v>222</v>
      </c>
      <c r="E78" s="17">
        <f>E79</f>
        <v>117.2</v>
      </c>
      <c r="F78" s="17">
        <f>F79</f>
        <v>117.1</v>
      </c>
    </row>
    <row r="79" spans="1:6" ht="12.75">
      <c r="A79" s="104" t="s">
        <v>60</v>
      </c>
      <c r="B79" s="104">
        <v>1240520410</v>
      </c>
      <c r="C79" s="104" t="s">
        <v>70</v>
      </c>
      <c r="D79" s="48" t="s">
        <v>71</v>
      </c>
      <c r="E79" s="17">
        <f>E80</f>
        <v>117.2</v>
      </c>
      <c r="F79" s="17">
        <f>F80</f>
        <v>117.1</v>
      </c>
    </row>
    <row r="80" spans="1:6" ht="12.75">
      <c r="A80" s="104" t="s">
        <v>60</v>
      </c>
      <c r="B80" s="104">
        <v>1240520410</v>
      </c>
      <c r="C80" s="104">
        <v>850</v>
      </c>
      <c r="D80" s="48" t="s">
        <v>97</v>
      </c>
      <c r="E80" s="17">
        <f>'№ 6 ведом'!F56</f>
        <v>117.2</v>
      </c>
      <c r="F80" s="17">
        <f>'№ 6 ведом'!G56</f>
        <v>117.1</v>
      </c>
    </row>
    <row r="81" spans="1:6" ht="31.5">
      <c r="A81" s="104" t="s">
        <v>60</v>
      </c>
      <c r="B81" s="104">
        <v>1240520460</v>
      </c>
      <c r="C81" s="104"/>
      <c r="D81" s="48" t="s">
        <v>237</v>
      </c>
      <c r="E81" s="17">
        <f>E82</f>
        <v>461.5</v>
      </c>
      <c r="F81" s="17">
        <f>F82</f>
        <v>451.7</v>
      </c>
    </row>
    <row r="82" spans="1:6" ht="31.5">
      <c r="A82" s="104" t="s">
        <v>60</v>
      </c>
      <c r="B82" s="104">
        <v>1240520460</v>
      </c>
      <c r="C82" s="106" t="s">
        <v>69</v>
      </c>
      <c r="D82" s="105" t="s">
        <v>92</v>
      </c>
      <c r="E82" s="17">
        <f>E83</f>
        <v>461.5</v>
      </c>
      <c r="F82" s="17">
        <f>F83</f>
        <v>451.7</v>
      </c>
    </row>
    <row r="83" spans="1:6" ht="31.5">
      <c r="A83" s="104" t="s">
        <v>60</v>
      </c>
      <c r="B83" s="104">
        <v>1240520460</v>
      </c>
      <c r="C83" s="104">
        <v>240</v>
      </c>
      <c r="D83" s="48" t="s">
        <v>245</v>
      </c>
      <c r="E83" s="17">
        <f>'№ 6 ведом'!F59</f>
        <v>461.5</v>
      </c>
      <c r="F83" s="17">
        <f>'№ 6 ведом'!G59</f>
        <v>451.7</v>
      </c>
    </row>
    <row r="84" spans="1:6" ht="31.5">
      <c r="A84" s="104" t="s">
        <v>60</v>
      </c>
      <c r="B84" s="106">
        <v>1500000000</v>
      </c>
      <c r="C84" s="104"/>
      <c r="D84" s="48" t="s">
        <v>188</v>
      </c>
      <c r="E84" s="17">
        <f aca="true" t="shared" si="7" ref="E84:F88">E85</f>
        <v>110.5</v>
      </c>
      <c r="F84" s="17">
        <f t="shared" si="7"/>
        <v>93.8</v>
      </c>
    </row>
    <row r="85" spans="1:6" ht="12.75">
      <c r="A85" s="104" t="s">
        <v>60</v>
      </c>
      <c r="B85" s="104">
        <v>1510000000</v>
      </c>
      <c r="C85" s="104"/>
      <c r="D85" s="48" t="s">
        <v>161</v>
      </c>
      <c r="E85" s="17">
        <f t="shared" si="7"/>
        <v>110.5</v>
      </c>
      <c r="F85" s="17">
        <f t="shared" si="7"/>
        <v>93.8</v>
      </c>
    </row>
    <row r="86" spans="1:6" ht="47.25">
      <c r="A86" s="104" t="s">
        <v>60</v>
      </c>
      <c r="B86" s="104">
        <v>1510200000</v>
      </c>
      <c r="C86" s="104"/>
      <c r="D86" s="48" t="s">
        <v>189</v>
      </c>
      <c r="E86" s="17">
        <f t="shared" si="7"/>
        <v>110.5</v>
      </c>
      <c r="F86" s="17">
        <f t="shared" si="7"/>
        <v>93.8</v>
      </c>
    </row>
    <row r="87" spans="1:6" ht="31.5">
      <c r="A87" s="104" t="s">
        <v>60</v>
      </c>
      <c r="B87" s="104">
        <v>1510220170</v>
      </c>
      <c r="C87" s="104"/>
      <c r="D87" s="48" t="s">
        <v>190</v>
      </c>
      <c r="E87" s="17">
        <f t="shared" si="7"/>
        <v>110.5</v>
      </c>
      <c r="F87" s="17">
        <f t="shared" si="7"/>
        <v>93.8</v>
      </c>
    </row>
    <row r="88" spans="1:6" ht="63">
      <c r="A88" s="104" t="s">
        <v>60</v>
      </c>
      <c r="B88" s="104">
        <v>1510220170</v>
      </c>
      <c r="C88" s="104" t="s">
        <v>68</v>
      </c>
      <c r="D88" s="105" t="s">
        <v>1</v>
      </c>
      <c r="E88" s="17">
        <f t="shared" si="7"/>
        <v>110.5</v>
      </c>
      <c r="F88" s="17">
        <f t="shared" si="7"/>
        <v>93.8</v>
      </c>
    </row>
    <row r="89" spans="1:6" ht="31.5">
      <c r="A89" s="104" t="s">
        <v>60</v>
      </c>
      <c r="B89" s="104">
        <v>1510220170</v>
      </c>
      <c r="C89" s="104">
        <v>120</v>
      </c>
      <c r="D89" s="105" t="s">
        <v>246</v>
      </c>
      <c r="E89" s="17">
        <f>'№ 6 ведом'!F65</f>
        <v>110.5</v>
      </c>
      <c r="F89" s="17">
        <f>'№ 6 ведом'!G65</f>
        <v>93.8</v>
      </c>
    </row>
    <row r="90" spans="1:6" ht="47.25">
      <c r="A90" s="106" t="s">
        <v>60</v>
      </c>
      <c r="B90" s="106">
        <v>1600000000</v>
      </c>
      <c r="C90" s="106"/>
      <c r="D90" s="105" t="s">
        <v>111</v>
      </c>
      <c r="E90" s="17">
        <f>E91+E99+E111</f>
        <v>9537.900000000001</v>
      </c>
      <c r="F90" s="17">
        <f>F91+F99+F111</f>
        <v>9235.5</v>
      </c>
    </row>
    <row r="91" spans="1:6" ht="31.5">
      <c r="A91" s="106" t="s">
        <v>60</v>
      </c>
      <c r="B91" s="106">
        <v>1620000000</v>
      </c>
      <c r="C91" s="106"/>
      <c r="D91" s="105" t="s">
        <v>104</v>
      </c>
      <c r="E91" s="17">
        <f>E92</f>
        <v>5396.900000000001</v>
      </c>
      <c r="F91" s="17">
        <f>F92</f>
        <v>5121.5</v>
      </c>
    </row>
    <row r="92" spans="1:6" ht="12.75">
      <c r="A92" s="106" t="s">
        <v>60</v>
      </c>
      <c r="B92" s="106">
        <v>1620100000</v>
      </c>
      <c r="C92" s="106"/>
      <c r="D92" s="105" t="s">
        <v>105</v>
      </c>
      <c r="E92" s="17">
        <f>E93+E96</f>
        <v>5396.900000000001</v>
      </c>
      <c r="F92" s="17">
        <f>F93+F96</f>
        <v>5121.5</v>
      </c>
    </row>
    <row r="93" spans="1:6" ht="12.75">
      <c r="A93" s="106" t="s">
        <v>60</v>
      </c>
      <c r="B93" s="106">
        <v>1620120210</v>
      </c>
      <c r="C93" s="18"/>
      <c r="D93" s="105" t="s">
        <v>106</v>
      </c>
      <c r="E93" s="17">
        <f>E94</f>
        <v>5211.3</v>
      </c>
      <c r="F93" s="17">
        <f>F94</f>
        <v>4936.9</v>
      </c>
    </row>
    <row r="94" spans="1:6" ht="31.5">
      <c r="A94" s="106" t="s">
        <v>60</v>
      </c>
      <c r="B94" s="106">
        <v>1620120210</v>
      </c>
      <c r="C94" s="106" t="s">
        <v>69</v>
      </c>
      <c r="D94" s="105" t="s">
        <v>92</v>
      </c>
      <c r="E94" s="17">
        <f>E95</f>
        <v>5211.3</v>
      </c>
      <c r="F94" s="17">
        <f>F95</f>
        <v>4936.9</v>
      </c>
    </row>
    <row r="95" spans="1:6" ht="31.5">
      <c r="A95" s="106" t="s">
        <v>60</v>
      </c>
      <c r="B95" s="106">
        <v>1620120210</v>
      </c>
      <c r="C95" s="104">
        <v>240</v>
      </c>
      <c r="D95" s="105" t="s">
        <v>245</v>
      </c>
      <c r="E95" s="17">
        <f>'№ 6 ведом'!F504</f>
        <v>5211.3</v>
      </c>
      <c r="F95" s="17">
        <f>'№ 6 ведом'!G504</f>
        <v>4936.9</v>
      </c>
    </row>
    <row r="96" spans="1:6" ht="31.5">
      <c r="A96" s="106" t="s">
        <v>60</v>
      </c>
      <c r="B96" s="106">
        <v>1620120220</v>
      </c>
      <c r="C96" s="104"/>
      <c r="D96" s="105" t="s">
        <v>103</v>
      </c>
      <c r="E96" s="17">
        <f>E97</f>
        <v>185.6</v>
      </c>
      <c r="F96" s="17">
        <f>F97</f>
        <v>184.6</v>
      </c>
    </row>
    <row r="97" spans="1:6" ht="31.5">
      <c r="A97" s="106" t="s">
        <v>60</v>
      </c>
      <c r="B97" s="106">
        <v>1620120220</v>
      </c>
      <c r="C97" s="106" t="s">
        <v>69</v>
      </c>
      <c r="D97" s="105" t="s">
        <v>92</v>
      </c>
      <c r="E97" s="17">
        <f>E98</f>
        <v>185.6</v>
      </c>
      <c r="F97" s="17">
        <f>F98</f>
        <v>184.6</v>
      </c>
    </row>
    <row r="98" spans="1:6" ht="31.5">
      <c r="A98" s="106" t="s">
        <v>60</v>
      </c>
      <c r="B98" s="106">
        <v>1620120220</v>
      </c>
      <c r="C98" s="104">
        <v>240</v>
      </c>
      <c r="D98" s="105" t="s">
        <v>245</v>
      </c>
      <c r="E98" s="17">
        <f>'№ 6 ведом'!F507</f>
        <v>185.6</v>
      </c>
      <c r="F98" s="17">
        <f>'№ 6 ведом'!G507</f>
        <v>184.6</v>
      </c>
    </row>
    <row r="99" spans="1:6" ht="47.25">
      <c r="A99" s="106" t="s">
        <v>60</v>
      </c>
      <c r="B99" s="106">
        <v>1630000000</v>
      </c>
      <c r="C99" s="104"/>
      <c r="D99" s="105" t="s">
        <v>224</v>
      </c>
      <c r="E99" s="17">
        <f>E100+E107</f>
        <v>4114.5</v>
      </c>
      <c r="F99" s="17">
        <f>F100+F107</f>
        <v>4087.5</v>
      </c>
    </row>
    <row r="100" spans="1:6" ht="47.25">
      <c r="A100" s="106" t="s">
        <v>60</v>
      </c>
      <c r="B100" s="104">
        <v>1630100000</v>
      </c>
      <c r="C100" s="104"/>
      <c r="D100" s="48" t="s">
        <v>225</v>
      </c>
      <c r="E100" s="17">
        <f>E101+E104</f>
        <v>3712.1</v>
      </c>
      <c r="F100" s="17">
        <f>F101+F104</f>
        <v>3712.1</v>
      </c>
    </row>
    <row r="101" spans="1:6" ht="47.25">
      <c r="A101" s="104" t="s">
        <v>60</v>
      </c>
      <c r="B101" s="104">
        <v>1630120180</v>
      </c>
      <c r="C101" s="104"/>
      <c r="D101" s="48" t="s">
        <v>226</v>
      </c>
      <c r="E101" s="17">
        <f>E102</f>
        <v>1428.4</v>
      </c>
      <c r="F101" s="17">
        <f>F102</f>
        <v>1428.4</v>
      </c>
    </row>
    <row r="102" spans="1:6" ht="31.5">
      <c r="A102" s="106" t="s">
        <v>60</v>
      </c>
      <c r="B102" s="104">
        <v>1630120180</v>
      </c>
      <c r="C102" s="104" t="s">
        <v>69</v>
      </c>
      <c r="D102" s="48" t="s">
        <v>92</v>
      </c>
      <c r="E102" s="17">
        <f>E103</f>
        <v>1428.4</v>
      </c>
      <c r="F102" s="17">
        <f>F103</f>
        <v>1428.4</v>
      </c>
    </row>
    <row r="103" spans="1:6" ht="31.5">
      <c r="A103" s="106" t="s">
        <v>60</v>
      </c>
      <c r="B103" s="104">
        <v>1630120180</v>
      </c>
      <c r="C103" s="104">
        <v>240</v>
      </c>
      <c r="D103" s="48" t="s">
        <v>245</v>
      </c>
      <c r="E103" s="17">
        <f>'№ 6 ведом'!F71</f>
        <v>1428.4</v>
      </c>
      <c r="F103" s="17">
        <f>'№ 6 ведом'!G71</f>
        <v>1428.4</v>
      </c>
    </row>
    <row r="104" spans="1:6" ht="47.25">
      <c r="A104" s="104" t="s">
        <v>60</v>
      </c>
      <c r="B104" s="104">
        <v>1630120520</v>
      </c>
      <c r="C104" s="104"/>
      <c r="D104" s="48" t="s">
        <v>231</v>
      </c>
      <c r="E104" s="17">
        <f>E105</f>
        <v>2283.7</v>
      </c>
      <c r="F104" s="17">
        <f>F105</f>
        <v>2283.7</v>
      </c>
    </row>
    <row r="105" spans="1:6" ht="31.5">
      <c r="A105" s="106" t="s">
        <v>60</v>
      </c>
      <c r="B105" s="104">
        <v>1630120520</v>
      </c>
      <c r="C105" s="104" t="s">
        <v>69</v>
      </c>
      <c r="D105" s="48" t="s">
        <v>92</v>
      </c>
      <c r="E105" s="17">
        <f>E106</f>
        <v>2283.7</v>
      </c>
      <c r="F105" s="17">
        <f>F106</f>
        <v>2283.7</v>
      </c>
    </row>
    <row r="106" spans="1:6" ht="31.5">
      <c r="A106" s="106" t="s">
        <v>60</v>
      </c>
      <c r="B106" s="104">
        <v>1630120520</v>
      </c>
      <c r="C106" s="104">
        <v>240</v>
      </c>
      <c r="D106" s="48" t="s">
        <v>245</v>
      </c>
      <c r="E106" s="17">
        <f>'№ 6 ведом'!F74</f>
        <v>2283.7</v>
      </c>
      <c r="F106" s="17">
        <f>'№ 6 ведом'!G74</f>
        <v>2283.7</v>
      </c>
    </row>
    <row r="107" spans="1:6" ht="47.25">
      <c r="A107" s="104" t="s">
        <v>60</v>
      </c>
      <c r="B107" s="104">
        <v>1630200000</v>
      </c>
      <c r="C107" s="104"/>
      <c r="D107" s="48" t="s">
        <v>227</v>
      </c>
      <c r="E107" s="17">
        <f aca="true" t="shared" si="8" ref="E107:F109">E108</f>
        <v>402.4</v>
      </c>
      <c r="F107" s="17">
        <f t="shared" si="8"/>
        <v>375.4</v>
      </c>
    </row>
    <row r="108" spans="1:6" ht="31.5">
      <c r="A108" s="106" t="s">
        <v>60</v>
      </c>
      <c r="B108" s="104">
        <v>1630220530</v>
      </c>
      <c r="C108" s="104"/>
      <c r="D108" s="48" t="s">
        <v>228</v>
      </c>
      <c r="E108" s="17">
        <f t="shared" si="8"/>
        <v>402.4</v>
      </c>
      <c r="F108" s="17">
        <f t="shared" si="8"/>
        <v>375.4</v>
      </c>
    </row>
    <row r="109" spans="1:6" ht="31.5">
      <c r="A109" s="106" t="s">
        <v>60</v>
      </c>
      <c r="B109" s="104">
        <v>1630220530</v>
      </c>
      <c r="C109" s="104" t="s">
        <v>69</v>
      </c>
      <c r="D109" s="48" t="s">
        <v>92</v>
      </c>
      <c r="E109" s="17">
        <f t="shared" si="8"/>
        <v>402.4</v>
      </c>
      <c r="F109" s="17">
        <f t="shared" si="8"/>
        <v>375.4</v>
      </c>
    </row>
    <row r="110" spans="1:6" ht="31.5">
      <c r="A110" s="104" t="s">
        <v>60</v>
      </c>
      <c r="B110" s="104">
        <v>1630220530</v>
      </c>
      <c r="C110" s="104">
        <v>240</v>
      </c>
      <c r="D110" s="48" t="s">
        <v>245</v>
      </c>
      <c r="E110" s="17">
        <f>'№ 6 ведом'!F78</f>
        <v>402.4</v>
      </c>
      <c r="F110" s="17">
        <f>'№ 6 ведом'!G78</f>
        <v>375.4</v>
      </c>
    </row>
    <row r="111" spans="1:6" ht="47.25">
      <c r="A111" s="104" t="s">
        <v>60</v>
      </c>
      <c r="B111" s="106">
        <v>1640000000</v>
      </c>
      <c r="C111" s="1"/>
      <c r="D111" s="49" t="s">
        <v>217</v>
      </c>
      <c r="E111" s="17">
        <f aca="true" t="shared" si="9" ref="E111:F114">E112</f>
        <v>26.5</v>
      </c>
      <c r="F111" s="17">
        <f t="shared" si="9"/>
        <v>26.5</v>
      </c>
    </row>
    <row r="112" spans="1:6" ht="31.5">
      <c r="A112" s="104" t="s">
        <v>60</v>
      </c>
      <c r="B112" s="104">
        <v>1640200000</v>
      </c>
      <c r="C112" s="1"/>
      <c r="D112" s="49" t="s">
        <v>220</v>
      </c>
      <c r="E112" s="17">
        <f t="shared" si="9"/>
        <v>26.5</v>
      </c>
      <c r="F112" s="17">
        <f t="shared" si="9"/>
        <v>26.5</v>
      </c>
    </row>
    <row r="113" spans="1:6" ht="12.75">
      <c r="A113" s="104" t="s">
        <v>60</v>
      </c>
      <c r="B113" s="104">
        <v>1640220250</v>
      </c>
      <c r="C113" s="1"/>
      <c r="D113" s="49" t="s">
        <v>218</v>
      </c>
      <c r="E113" s="17">
        <f t="shared" si="9"/>
        <v>26.5</v>
      </c>
      <c r="F113" s="17">
        <f t="shared" si="9"/>
        <v>26.5</v>
      </c>
    </row>
    <row r="114" spans="1:6" ht="31.5">
      <c r="A114" s="104" t="s">
        <v>60</v>
      </c>
      <c r="B114" s="104">
        <v>1640220250</v>
      </c>
      <c r="C114" s="106" t="s">
        <v>69</v>
      </c>
      <c r="D114" s="105" t="s">
        <v>92</v>
      </c>
      <c r="E114" s="17">
        <f t="shared" si="9"/>
        <v>26.5</v>
      </c>
      <c r="F114" s="17">
        <f t="shared" si="9"/>
        <v>26.5</v>
      </c>
    </row>
    <row r="115" spans="1:6" ht="31.5">
      <c r="A115" s="104" t="s">
        <v>60</v>
      </c>
      <c r="B115" s="104">
        <v>1640220250</v>
      </c>
      <c r="C115" s="104">
        <v>240</v>
      </c>
      <c r="D115" s="48" t="s">
        <v>245</v>
      </c>
      <c r="E115" s="17">
        <f>'№ 6 ведом'!F83</f>
        <v>26.5</v>
      </c>
      <c r="F115" s="17">
        <f>'№ 6 ведом'!G83</f>
        <v>26.5</v>
      </c>
    </row>
    <row r="116" spans="1:6" ht="12.75">
      <c r="A116" s="104" t="s">
        <v>60</v>
      </c>
      <c r="B116" s="104">
        <v>9900000000</v>
      </c>
      <c r="C116" s="104"/>
      <c r="D116" s="48" t="s">
        <v>102</v>
      </c>
      <c r="E116" s="17">
        <f>E126+E117</f>
        <v>31285.7</v>
      </c>
      <c r="F116" s="17">
        <f>F126+F117</f>
        <v>31264.699999999997</v>
      </c>
    </row>
    <row r="117" spans="1:6" ht="31.5">
      <c r="A117" s="104" t="s">
        <v>60</v>
      </c>
      <c r="B117" s="104">
        <v>9930000000</v>
      </c>
      <c r="C117" s="104"/>
      <c r="D117" s="54" t="s">
        <v>165</v>
      </c>
      <c r="E117" s="17">
        <f>E123+E118</f>
        <v>1121.2</v>
      </c>
      <c r="F117" s="17">
        <f>F123+F118</f>
        <v>1121.1</v>
      </c>
    </row>
    <row r="118" spans="1:6" ht="31.5">
      <c r="A118" s="106" t="s">
        <v>60</v>
      </c>
      <c r="B118" s="104">
        <v>9930020490</v>
      </c>
      <c r="C118" s="104"/>
      <c r="D118" s="54" t="s">
        <v>367</v>
      </c>
      <c r="E118" s="17">
        <f>E119+E121</f>
        <v>404.9</v>
      </c>
      <c r="F118" s="17">
        <f>F119+F121</f>
        <v>404.9</v>
      </c>
    </row>
    <row r="119" spans="1:6" ht="31.5">
      <c r="A119" s="106" t="s">
        <v>60</v>
      </c>
      <c r="B119" s="104">
        <v>9930020490</v>
      </c>
      <c r="C119" s="106" t="s">
        <v>69</v>
      </c>
      <c r="D119" s="105" t="s">
        <v>92</v>
      </c>
      <c r="E119" s="17">
        <f>E120</f>
        <v>78.6</v>
      </c>
      <c r="F119" s="17">
        <f>F120</f>
        <v>78.6</v>
      </c>
    </row>
    <row r="120" spans="1:6" ht="31.5">
      <c r="A120" s="106" t="s">
        <v>60</v>
      </c>
      <c r="B120" s="104">
        <v>9930020490</v>
      </c>
      <c r="C120" s="104">
        <v>240</v>
      </c>
      <c r="D120" s="105" t="s">
        <v>245</v>
      </c>
      <c r="E120" s="17">
        <f>'№ 6 ведом'!F512</f>
        <v>78.6</v>
      </c>
      <c r="F120" s="17">
        <f>'№ 6 ведом'!G512</f>
        <v>78.6</v>
      </c>
    </row>
    <row r="121" spans="1:6" ht="12.75">
      <c r="A121" s="106" t="s">
        <v>60</v>
      </c>
      <c r="B121" s="104">
        <v>9930020490</v>
      </c>
      <c r="C121" s="11" t="s">
        <v>70</v>
      </c>
      <c r="D121" s="42" t="s">
        <v>71</v>
      </c>
      <c r="E121" s="17">
        <f>E122</f>
        <v>326.29999999999995</v>
      </c>
      <c r="F121" s="17">
        <f>F122</f>
        <v>326.3</v>
      </c>
    </row>
    <row r="122" spans="1:6" ht="12.75">
      <c r="A122" s="106" t="s">
        <v>60</v>
      </c>
      <c r="B122" s="104">
        <v>9930020490</v>
      </c>
      <c r="C122" s="1" t="s">
        <v>368</v>
      </c>
      <c r="D122" s="57" t="s">
        <v>369</v>
      </c>
      <c r="E122" s="17">
        <f>'№ 6 ведом'!F514+'№ 6 ведом'!F88</f>
        <v>326.29999999999995</v>
      </c>
      <c r="F122" s="17">
        <f>'№ 6 ведом'!G514+'№ 6 ведом'!G88</f>
        <v>326.3</v>
      </c>
    </row>
    <row r="123" spans="1:6" ht="31.5">
      <c r="A123" s="104" t="s">
        <v>60</v>
      </c>
      <c r="B123" s="104">
        <v>9930054690</v>
      </c>
      <c r="C123" s="104"/>
      <c r="D123" s="54" t="s">
        <v>340</v>
      </c>
      <c r="E123" s="17">
        <f>E124</f>
        <v>716.3000000000001</v>
      </c>
      <c r="F123" s="17">
        <f>F124</f>
        <v>716.2</v>
      </c>
    </row>
    <row r="124" spans="1:6" ht="31.5">
      <c r="A124" s="104" t="s">
        <v>60</v>
      </c>
      <c r="B124" s="104">
        <v>9930054690</v>
      </c>
      <c r="C124" s="104" t="s">
        <v>69</v>
      </c>
      <c r="D124" s="105" t="s">
        <v>92</v>
      </c>
      <c r="E124" s="17">
        <f>E125</f>
        <v>716.3000000000001</v>
      </c>
      <c r="F124" s="17">
        <f>F125</f>
        <v>716.2</v>
      </c>
    </row>
    <row r="125" spans="1:6" ht="31.5">
      <c r="A125" s="104" t="s">
        <v>60</v>
      </c>
      <c r="B125" s="104">
        <v>9930054690</v>
      </c>
      <c r="C125" s="104">
        <v>240</v>
      </c>
      <c r="D125" s="105" t="s">
        <v>245</v>
      </c>
      <c r="E125" s="17">
        <f>'№ 6 ведом'!F91</f>
        <v>716.3000000000001</v>
      </c>
      <c r="F125" s="17">
        <f>'№ 6 ведом'!G91</f>
        <v>716.2</v>
      </c>
    </row>
    <row r="126" spans="1:6" ht="31.5">
      <c r="A126" s="104" t="s">
        <v>60</v>
      </c>
      <c r="B126" s="104">
        <v>9990000000</v>
      </c>
      <c r="C126" s="104"/>
      <c r="D126" s="48" t="s">
        <v>155</v>
      </c>
      <c r="E126" s="17">
        <f>E127+E134</f>
        <v>30164.5</v>
      </c>
      <c r="F126" s="17">
        <f>F127+F134</f>
        <v>30143.6</v>
      </c>
    </row>
    <row r="127" spans="1:6" ht="31.5">
      <c r="A127" s="104" t="s">
        <v>60</v>
      </c>
      <c r="B127" s="104">
        <v>9990200000</v>
      </c>
      <c r="C127" s="24"/>
      <c r="D127" s="48" t="s">
        <v>115</v>
      </c>
      <c r="E127" s="17">
        <f>+E128+E131</f>
        <v>5959</v>
      </c>
      <c r="F127" s="17">
        <f>+F128+F131</f>
        <v>5940.7</v>
      </c>
    </row>
    <row r="128" spans="1:6" ht="78.75">
      <c r="A128" s="104" t="s">
        <v>60</v>
      </c>
      <c r="B128" s="104">
        <v>9990210540</v>
      </c>
      <c r="C128" s="104"/>
      <c r="D128" s="48" t="s">
        <v>162</v>
      </c>
      <c r="E128" s="17">
        <f>E129</f>
        <v>266.5</v>
      </c>
      <c r="F128" s="17">
        <f>F129</f>
        <v>266.5</v>
      </c>
    </row>
    <row r="129" spans="1:6" ht="63">
      <c r="A129" s="104" t="s">
        <v>60</v>
      </c>
      <c r="B129" s="104">
        <v>9990210540</v>
      </c>
      <c r="C129" s="104" t="s">
        <v>68</v>
      </c>
      <c r="D129" s="48" t="s">
        <v>1</v>
      </c>
      <c r="E129" s="17">
        <f>E130</f>
        <v>266.5</v>
      </c>
      <c r="F129" s="17">
        <f>F130</f>
        <v>266.5</v>
      </c>
    </row>
    <row r="130" spans="1:6" ht="31.5">
      <c r="A130" s="104" t="s">
        <v>60</v>
      </c>
      <c r="B130" s="104">
        <v>9990210540</v>
      </c>
      <c r="C130" s="104">
        <v>120</v>
      </c>
      <c r="D130" s="48" t="s">
        <v>246</v>
      </c>
      <c r="E130" s="17">
        <f>'№ 6 ведом'!F96</f>
        <v>266.5</v>
      </c>
      <c r="F130" s="17">
        <f>'№ 6 ведом'!G96</f>
        <v>266.5</v>
      </c>
    </row>
    <row r="131" spans="1:6" ht="47.25">
      <c r="A131" s="106" t="s">
        <v>60</v>
      </c>
      <c r="B131" s="104">
        <v>9990225000</v>
      </c>
      <c r="C131" s="104"/>
      <c r="D131" s="48" t="s">
        <v>116</v>
      </c>
      <c r="E131" s="17">
        <f>E132</f>
        <v>5692.5</v>
      </c>
      <c r="F131" s="17">
        <f>F132</f>
        <v>5674.2</v>
      </c>
    </row>
    <row r="132" spans="1:6" ht="63">
      <c r="A132" s="106" t="s">
        <v>60</v>
      </c>
      <c r="B132" s="104">
        <v>9990225000</v>
      </c>
      <c r="C132" s="106" t="s">
        <v>68</v>
      </c>
      <c r="D132" s="105" t="s">
        <v>1</v>
      </c>
      <c r="E132" s="17">
        <f>E133</f>
        <v>5692.5</v>
      </c>
      <c r="F132" s="17">
        <f>F133</f>
        <v>5674.2</v>
      </c>
    </row>
    <row r="133" spans="1:6" ht="31.5">
      <c r="A133" s="106" t="s">
        <v>60</v>
      </c>
      <c r="B133" s="104">
        <v>9990225000</v>
      </c>
      <c r="C133" s="104">
        <v>120</v>
      </c>
      <c r="D133" s="48" t="s">
        <v>246</v>
      </c>
      <c r="E133" s="17">
        <f>'№ 6 ведом'!F519</f>
        <v>5692.5</v>
      </c>
      <c r="F133" s="17">
        <f>'№ 6 ведом'!G519</f>
        <v>5674.2</v>
      </c>
    </row>
    <row r="134" spans="1:6" ht="31.5">
      <c r="A134" s="104" t="s">
        <v>60</v>
      </c>
      <c r="B134" s="104">
        <v>9990300000</v>
      </c>
      <c r="C134" s="104"/>
      <c r="D134" s="48" t="s">
        <v>167</v>
      </c>
      <c r="E134" s="17">
        <f>E135+E137+E139</f>
        <v>24205.5</v>
      </c>
      <c r="F134" s="17">
        <f>F135+F137+F139</f>
        <v>24202.899999999998</v>
      </c>
    </row>
    <row r="135" spans="1:6" ht="63">
      <c r="A135" s="104" t="s">
        <v>60</v>
      </c>
      <c r="B135" s="104">
        <v>9990300000</v>
      </c>
      <c r="C135" s="104" t="s">
        <v>68</v>
      </c>
      <c r="D135" s="48" t="s">
        <v>1</v>
      </c>
      <c r="E135" s="17">
        <f>E136</f>
        <v>16621.8</v>
      </c>
      <c r="F135" s="17">
        <f>F136</f>
        <v>16621.8</v>
      </c>
    </row>
    <row r="136" spans="1:6" ht="12.75">
      <c r="A136" s="104" t="s">
        <v>60</v>
      </c>
      <c r="B136" s="104">
        <v>9990300000</v>
      </c>
      <c r="C136" s="104">
        <v>110</v>
      </c>
      <c r="D136" s="49" t="s">
        <v>168</v>
      </c>
      <c r="E136" s="17">
        <f>'№ 6 ведом'!F99</f>
        <v>16621.8</v>
      </c>
      <c r="F136" s="17">
        <f>'№ 6 ведом'!G99</f>
        <v>16621.8</v>
      </c>
    </row>
    <row r="137" spans="1:6" ht="31.5">
      <c r="A137" s="104" t="s">
        <v>60</v>
      </c>
      <c r="B137" s="104">
        <v>9990300000</v>
      </c>
      <c r="C137" s="104" t="s">
        <v>69</v>
      </c>
      <c r="D137" s="48" t="s">
        <v>92</v>
      </c>
      <c r="E137" s="17">
        <f>E138</f>
        <v>7556.1</v>
      </c>
      <c r="F137" s="17">
        <f>F138</f>
        <v>7554.3</v>
      </c>
    </row>
    <row r="138" spans="1:6" ht="31.5">
      <c r="A138" s="104" t="s">
        <v>60</v>
      </c>
      <c r="B138" s="104">
        <v>9990300000</v>
      </c>
      <c r="C138" s="104">
        <v>240</v>
      </c>
      <c r="D138" s="48" t="s">
        <v>245</v>
      </c>
      <c r="E138" s="17">
        <f>'№ 6 ведом'!F101</f>
        <v>7556.1</v>
      </c>
      <c r="F138" s="17">
        <f>'№ 6 ведом'!G101</f>
        <v>7554.3</v>
      </c>
    </row>
    <row r="139" spans="1:6" ht="12.75">
      <c r="A139" s="104" t="s">
        <v>60</v>
      </c>
      <c r="B139" s="104">
        <v>9990300000</v>
      </c>
      <c r="C139" s="104" t="s">
        <v>70</v>
      </c>
      <c r="D139" s="48" t="s">
        <v>71</v>
      </c>
      <c r="E139" s="17">
        <f>E140</f>
        <v>27.6</v>
      </c>
      <c r="F139" s="17">
        <f>F140</f>
        <v>26.8</v>
      </c>
    </row>
    <row r="140" spans="1:6" ht="12.75">
      <c r="A140" s="104" t="s">
        <v>60</v>
      </c>
      <c r="B140" s="104">
        <v>9990300000</v>
      </c>
      <c r="C140" s="104">
        <v>850</v>
      </c>
      <c r="D140" s="48" t="s">
        <v>97</v>
      </c>
      <c r="E140" s="17">
        <f>'№ 6 ведом'!F103</f>
        <v>27.6</v>
      </c>
      <c r="F140" s="17">
        <f>'№ 6 ведом'!G103</f>
        <v>26.8</v>
      </c>
    </row>
    <row r="141" spans="1:6" ht="31.5">
      <c r="A141" s="4" t="s">
        <v>55</v>
      </c>
      <c r="B141" s="4" t="s">
        <v>66</v>
      </c>
      <c r="C141" s="4" t="s">
        <v>66</v>
      </c>
      <c r="D141" s="19" t="s">
        <v>24</v>
      </c>
      <c r="E141" s="6">
        <f>E142+E149</f>
        <v>9380.4</v>
      </c>
      <c r="F141" s="6">
        <f>F142+F149</f>
        <v>9380.4</v>
      </c>
    </row>
    <row r="142" spans="1:6" ht="12.75">
      <c r="A142" s="104" t="s">
        <v>75</v>
      </c>
      <c r="B142" s="104" t="s">
        <v>66</v>
      </c>
      <c r="C142" s="104" t="s">
        <v>66</v>
      </c>
      <c r="D142" s="48" t="s">
        <v>76</v>
      </c>
      <c r="E142" s="17">
        <f aca="true" t="shared" si="10" ref="E142:F147">E143</f>
        <v>1392.2</v>
      </c>
      <c r="F142" s="17">
        <f t="shared" si="10"/>
        <v>1392.2</v>
      </c>
    </row>
    <row r="143" spans="1:6" ht="12.75">
      <c r="A143" s="104" t="s">
        <v>75</v>
      </c>
      <c r="B143" s="104">
        <v>9900000000</v>
      </c>
      <c r="C143" s="104"/>
      <c r="D143" s="48" t="s">
        <v>102</v>
      </c>
      <c r="E143" s="17">
        <f t="shared" si="10"/>
        <v>1392.2</v>
      </c>
      <c r="F143" s="17">
        <f t="shared" si="10"/>
        <v>1392.2</v>
      </c>
    </row>
    <row r="144" spans="1:6" ht="31.5">
      <c r="A144" s="104" t="s">
        <v>75</v>
      </c>
      <c r="B144" s="104">
        <v>9990000000</v>
      </c>
      <c r="C144" s="104"/>
      <c r="D144" s="48" t="s">
        <v>155</v>
      </c>
      <c r="E144" s="17">
        <f t="shared" si="10"/>
        <v>1392.2</v>
      </c>
      <c r="F144" s="17">
        <f t="shared" si="10"/>
        <v>1392.2</v>
      </c>
    </row>
    <row r="145" spans="1:6" ht="31.5">
      <c r="A145" s="104" t="s">
        <v>75</v>
      </c>
      <c r="B145" s="104">
        <v>9990200000</v>
      </c>
      <c r="C145" s="24"/>
      <c r="D145" s="48" t="s">
        <v>115</v>
      </c>
      <c r="E145" s="17">
        <f t="shared" si="10"/>
        <v>1392.2</v>
      </c>
      <c r="F145" s="17">
        <f t="shared" si="10"/>
        <v>1392.2</v>
      </c>
    </row>
    <row r="146" spans="1:7" ht="31.5">
      <c r="A146" s="104" t="s">
        <v>75</v>
      </c>
      <c r="B146" s="104">
        <v>9990259302</v>
      </c>
      <c r="C146" s="104"/>
      <c r="D146" s="48" t="s">
        <v>169</v>
      </c>
      <c r="E146" s="37">
        <f t="shared" si="10"/>
        <v>1392.2</v>
      </c>
      <c r="F146" s="37">
        <f t="shared" si="10"/>
        <v>1392.2</v>
      </c>
      <c r="G146" s="30"/>
    </row>
    <row r="147" spans="1:6" ht="63">
      <c r="A147" s="104" t="s">
        <v>75</v>
      </c>
      <c r="B147" s="104">
        <v>9990259302</v>
      </c>
      <c r="C147" s="104" t="s">
        <v>68</v>
      </c>
      <c r="D147" s="48" t="s">
        <v>1</v>
      </c>
      <c r="E147" s="17">
        <f t="shared" si="10"/>
        <v>1392.2</v>
      </c>
      <c r="F147" s="17">
        <f t="shared" si="10"/>
        <v>1392.2</v>
      </c>
    </row>
    <row r="148" spans="1:6" ht="31.5">
      <c r="A148" s="104" t="s">
        <v>75</v>
      </c>
      <c r="B148" s="104">
        <v>9990259302</v>
      </c>
      <c r="C148" s="104">
        <v>120</v>
      </c>
      <c r="D148" s="48" t="s">
        <v>246</v>
      </c>
      <c r="E148" s="17">
        <f>'№ 6 ведом'!F111</f>
        <v>1392.2</v>
      </c>
      <c r="F148" s="17">
        <f>'№ 6 ведом'!G111</f>
        <v>1392.2</v>
      </c>
    </row>
    <row r="149" spans="1:6" ht="31.5">
      <c r="A149" s="22" t="s">
        <v>337</v>
      </c>
      <c r="B149" s="104"/>
      <c r="C149" s="104"/>
      <c r="D149" s="108" t="s">
        <v>338</v>
      </c>
      <c r="E149" s="17">
        <f aca="true" t="shared" si="11" ref="E149:F154">E150</f>
        <v>7988.2</v>
      </c>
      <c r="F149" s="17">
        <f t="shared" si="11"/>
        <v>7988.2</v>
      </c>
    </row>
    <row r="150" spans="1:6" ht="31.5">
      <c r="A150" s="22" t="s">
        <v>337</v>
      </c>
      <c r="B150" s="106">
        <v>1500000000</v>
      </c>
      <c r="C150" s="104"/>
      <c r="D150" s="48" t="s">
        <v>188</v>
      </c>
      <c r="E150" s="17">
        <f>E151</f>
        <v>7988.2</v>
      </c>
      <c r="F150" s="17">
        <f>F151</f>
        <v>7988.2</v>
      </c>
    </row>
    <row r="151" spans="1:6" ht="12.75">
      <c r="A151" s="22" t="s">
        <v>337</v>
      </c>
      <c r="B151" s="104">
        <v>1510000000</v>
      </c>
      <c r="C151" s="104"/>
      <c r="D151" s="48" t="s">
        <v>161</v>
      </c>
      <c r="E151" s="17">
        <f>E152+E156</f>
        <v>7988.2</v>
      </c>
      <c r="F151" s="17">
        <f>F152+F156</f>
        <v>7988.2</v>
      </c>
    </row>
    <row r="152" spans="1:6" ht="47.25">
      <c r="A152" s="22" t="s">
        <v>337</v>
      </c>
      <c r="B152" s="104">
        <v>1510100000</v>
      </c>
      <c r="C152" s="104"/>
      <c r="D152" s="48" t="s">
        <v>191</v>
      </c>
      <c r="E152" s="17">
        <f>E153</f>
        <v>7924.2</v>
      </c>
      <c r="F152" s="17">
        <f>F153</f>
        <v>7924.2</v>
      </c>
    </row>
    <row r="153" spans="1:6" ht="31.5">
      <c r="A153" s="22" t="s">
        <v>337</v>
      </c>
      <c r="B153" s="104">
        <v>1510120010</v>
      </c>
      <c r="C153" s="104"/>
      <c r="D153" s="48" t="s">
        <v>121</v>
      </c>
      <c r="E153" s="17">
        <f t="shared" si="11"/>
        <v>7924.2</v>
      </c>
      <c r="F153" s="17">
        <f t="shared" si="11"/>
        <v>7924.2</v>
      </c>
    </row>
    <row r="154" spans="1:6" ht="31.5">
      <c r="A154" s="22" t="s">
        <v>337</v>
      </c>
      <c r="B154" s="104">
        <v>1510120010</v>
      </c>
      <c r="C154" s="74">
        <v>600</v>
      </c>
      <c r="D154" s="48" t="s">
        <v>83</v>
      </c>
      <c r="E154" s="17">
        <f t="shared" si="11"/>
        <v>7924.2</v>
      </c>
      <c r="F154" s="17">
        <f t="shared" si="11"/>
        <v>7924.2</v>
      </c>
    </row>
    <row r="155" spans="1:6" ht="12.75">
      <c r="A155" s="22" t="s">
        <v>337</v>
      </c>
      <c r="B155" s="104">
        <v>1510120010</v>
      </c>
      <c r="C155" s="74">
        <v>610</v>
      </c>
      <c r="D155" s="141" t="s">
        <v>101</v>
      </c>
      <c r="E155" s="17">
        <f>'№ 6 ведом'!F118</f>
        <v>7924.2</v>
      </c>
      <c r="F155" s="17">
        <f>'№ 6 ведом'!G118</f>
        <v>7924.2</v>
      </c>
    </row>
    <row r="156" spans="1:6" ht="63">
      <c r="A156" s="22" t="s">
        <v>337</v>
      </c>
      <c r="B156" s="140">
        <v>1510400000</v>
      </c>
      <c r="C156" s="74"/>
      <c r="D156" s="141" t="s">
        <v>395</v>
      </c>
      <c r="E156" s="17">
        <f aca="true" t="shared" si="12" ref="E156:F158">E157</f>
        <v>64</v>
      </c>
      <c r="F156" s="17">
        <f t="shared" si="12"/>
        <v>64</v>
      </c>
    </row>
    <row r="157" spans="1:6" ht="31.5">
      <c r="A157" s="22" t="s">
        <v>337</v>
      </c>
      <c r="B157" s="140">
        <v>1510420030</v>
      </c>
      <c r="C157" s="74"/>
      <c r="D157" s="141" t="s">
        <v>396</v>
      </c>
      <c r="E157" s="17">
        <f t="shared" si="12"/>
        <v>64</v>
      </c>
      <c r="F157" s="17">
        <f t="shared" si="12"/>
        <v>64</v>
      </c>
    </row>
    <row r="158" spans="1:6" ht="31.5">
      <c r="A158" s="22" t="s">
        <v>337</v>
      </c>
      <c r="B158" s="140">
        <v>1510420030</v>
      </c>
      <c r="C158" s="74">
        <v>600</v>
      </c>
      <c r="D158" s="141" t="s">
        <v>83</v>
      </c>
      <c r="E158" s="17">
        <f t="shared" si="12"/>
        <v>64</v>
      </c>
      <c r="F158" s="17">
        <f t="shared" si="12"/>
        <v>64</v>
      </c>
    </row>
    <row r="159" spans="1:6" ht="12.75">
      <c r="A159" s="22" t="s">
        <v>337</v>
      </c>
      <c r="B159" s="140">
        <v>1510420030</v>
      </c>
      <c r="C159" s="74">
        <v>610</v>
      </c>
      <c r="D159" s="141" t="s">
        <v>101</v>
      </c>
      <c r="E159" s="17">
        <f>'№ 6 ведом'!F122</f>
        <v>64</v>
      </c>
      <c r="F159" s="17">
        <f>'№ 6 ведом'!G122</f>
        <v>64</v>
      </c>
    </row>
    <row r="160" spans="1:6" ht="12.75">
      <c r="A160" s="4" t="s">
        <v>56</v>
      </c>
      <c r="B160" s="4" t="s">
        <v>66</v>
      </c>
      <c r="C160" s="75" t="s">
        <v>66</v>
      </c>
      <c r="D160" s="19" t="s">
        <v>25</v>
      </c>
      <c r="E160" s="58">
        <f>E161+E208</f>
        <v>106293.40000000001</v>
      </c>
      <c r="F160" s="58">
        <f>F161+F208</f>
        <v>101527.1</v>
      </c>
    </row>
    <row r="161" spans="1:6" ht="12.75">
      <c r="A161" s="104" t="s">
        <v>6</v>
      </c>
      <c r="B161" s="104" t="s">
        <v>66</v>
      </c>
      <c r="C161" s="104" t="s">
        <v>66</v>
      </c>
      <c r="D161" s="48" t="s">
        <v>87</v>
      </c>
      <c r="E161" s="17">
        <f>E162+E203</f>
        <v>105813.3</v>
      </c>
      <c r="F161" s="17">
        <f>F162+F203</f>
        <v>101047.1</v>
      </c>
    </row>
    <row r="162" spans="1:6" ht="47.25">
      <c r="A162" s="104" t="s">
        <v>6</v>
      </c>
      <c r="B162" s="106">
        <v>1400000000</v>
      </c>
      <c r="C162" s="104"/>
      <c r="D162" s="105" t="s">
        <v>194</v>
      </c>
      <c r="E162" s="17">
        <f>E163+E188</f>
        <v>105413.3</v>
      </c>
      <c r="F162" s="17">
        <f>F163+F188</f>
        <v>100647.1</v>
      </c>
    </row>
    <row r="163" spans="1:6" ht="12.75">
      <c r="A163" s="104" t="s">
        <v>6</v>
      </c>
      <c r="B163" s="106">
        <v>1410000000</v>
      </c>
      <c r="C163" s="104"/>
      <c r="D163" s="48" t="s">
        <v>123</v>
      </c>
      <c r="E163" s="17">
        <f>E164+E168+E178</f>
        <v>101141.40000000001</v>
      </c>
      <c r="F163" s="17">
        <f>F164+F168+F178</f>
        <v>98050.8</v>
      </c>
    </row>
    <row r="164" spans="1:6" ht="12.75">
      <c r="A164" s="104" t="s">
        <v>6</v>
      </c>
      <c r="B164" s="106">
        <v>1410100000</v>
      </c>
      <c r="C164" s="24"/>
      <c r="D164" s="48" t="s">
        <v>195</v>
      </c>
      <c r="E164" s="17">
        <f aca="true" t="shared" si="13" ref="E164:F166">E165</f>
        <v>28888.9</v>
      </c>
      <c r="F164" s="17">
        <f t="shared" si="13"/>
        <v>28875.9</v>
      </c>
    </row>
    <row r="165" spans="1:6" ht="31.5">
      <c r="A165" s="104" t="s">
        <v>6</v>
      </c>
      <c r="B165" s="104">
        <v>1410120100</v>
      </c>
      <c r="C165" s="104"/>
      <c r="D165" s="48" t="s">
        <v>124</v>
      </c>
      <c r="E165" s="17">
        <f t="shared" si="13"/>
        <v>28888.9</v>
      </c>
      <c r="F165" s="17">
        <f t="shared" si="13"/>
        <v>28875.9</v>
      </c>
    </row>
    <row r="166" spans="1:6" ht="31.5">
      <c r="A166" s="104" t="s">
        <v>6</v>
      </c>
      <c r="B166" s="104">
        <v>1410120100</v>
      </c>
      <c r="C166" s="106" t="s">
        <v>69</v>
      </c>
      <c r="D166" s="105" t="s">
        <v>92</v>
      </c>
      <c r="E166" s="17">
        <f t="shared" si="13"/>
        <v>28888.9</v>
      </c>
      <c r="F166" s="17">
        <f t="shared" si="13"/>
        <v>28875.9</v>
      </c>
    </row>
    <row r="167" spans="1:6" ht="31.5">
      <c r="A167" s="104" t="s">
        <v>6</v>
      </c>
      <c r="B167" s="104">
        <v>1410120100</v>
      </c>
      <c r="C167" s="104">
        <v>240</v>
      </c>
      <c r="D167" s="105" t="s">
        <v>245</v>
      </c>
      <c r="E167" s="17">
        <f>'№ 6 ведом'!F130</f>
        <v>28888.9</v>
      </c>
      <c r="F167" s="17">
        <f>'№ 6 ведом'!G130</f>
        <v>28875.9</v>
      </c>
    </row>
    <row r="168" spans="1:6" ht="47.25">
      <c r="A168" s="104" t="s">
        <v>6</v>
      </c>
      <c r="B168" s="106">
        <v>1410200000</v>
      </c>
      <c r="C168" s="104"/>
      <c r="D168" s="48" t="s">
        <v>196</v>
      </c>
      <c r="E168" s="17">
        <f>E172+E169+E175</f>
        <v>59779.2</v>
      </c>
      <c r="F168" s="17">
        <f>F172+F169+F175</f>
        <v>56940.7</v>
      </c>
    </row>
    <row r="169" spans="1:6" ht="31.5">
      <c r="A169" s="104" t="s">
        <v>6</v>
      </c>
      <c r="B169" s="104">
        <v>1410211050</v>
      </c>
      <c r="C169" s="104"/>
      <c r="D169" s="105" t="s">
        <v>278</v>
      </c>
      <c r="E169" s="17">
        <f>E170</f>
        <v>46381.1</v>
      </c>
      <c r="F169" s="17">
        <f>F170</f>
        <v>44367.1</v>
      </c>
    </row>
    <row r="170" spans="1:6" ht="31.5">
      <c r="A170" s="104" t="s">
        <v>6</v>
      </c>
      <c r="B170" s="104">
        <v>1410211050</v>
      </c>
      <c r="C170" s="106" t="s">
        <v>69</v>
      </c>
      <c r="D170" s="105" t="s">
        <v>92</v>
      </c>
      <c r="E170" s="17">
        <f>E171</f>
        <v>46381.1</v>
      </c>
      <c r="F170" s="17">
        <f>F171</f>
        <v>44367.1</v>
      </c>
    </row>
    <row r="171" spans="1:6" ht="31.5">
      <c r="A171" s="104" t="s">
        <v>6</v>
      </c>
      <c r="B171" s="104">
        <v>1410211050</v>
      </c>
      <c r="C171" s="104">
        <v>240</v>
      </c>
      <c r="D171" s="105" t="s">
        <v>245</v>
      </c>
      <c r="E171" s="17">
        <f>'№ 6 ведом'!F134</f>
        <v>46381.1</v>
      </c>
      <c r="F171" s="17">
        <f>'№ 6 ведом'!G134</f>
        <v>44367.1</v>
      </c>
    </row>
    <row r="172" spans="1:6" ht="12.75">
      <c r="A172" s="104" t="s">
        <v>6</v>
      </c>
      <c r="B172" s="104">
        <v>1410220110</v>
      </c>
      <c r="C172" s="104"/>
      <c r="D172" s="54" t="s">
        <v>266</v>
      </c>
      <c r="E172" s="17">
        <f>E173</f>
        <v>1512.8</v>
      </c>
      <c r="F172" s="17">
        <f>F173</f>
        <v>1481.8</v>
      </c>
    </row>
    <row r="173" spans="1:6" ht="31.5">
      <c r="A173" s="104" t="s">
        <v>6</v>
      </c>
      <c r="B173" s="104">
        <v>1410220110</v>
      </c>
      <c r="C173" s="106" t="s">
        <v>69</v>
      </c>
      <c r="D173" s="54" t="s">
        <v>92</v>
      </c>
      <c r="E173" s="17">
        <f>E174</f>
        <v>1512.8</v>
      </c>
      <c r="F173" s="17">
        <f>F174</f>
        <v>1481.8</v>
      </c>
    </row>
    <row r="174" spans="1:6" ht="31.5">
      <c r="A174" s="104" t="s">
        <v>6</v>
      </c>
      <c r="B174" s="104">
        <v>1410220110</v>
      </c>
      <c r="C174" s="104">
        <v>240</v>
      </c>
      <c r="D174" s="54" t="s">
        <v>245</v>
      </c>
      <c r="E174" s="17">
        <f>'№ 6 ведом'!F137</f>
        <v>1512.8</v>
      </c>
      <c r="F174" s="17">
        <f>'№ 6 ведом'!G137</f>
        <v>1481.8</v>
      </c>
    </row>
    <row r="175" spans="1:6" ht="31.5">
      <c r="A175" s="104" t="s">
        <v>6</v>
      </c>
      <c r="B175" s="104" t="s">
        <v>299</v>
      </c>
      <c r="C175" s="104"/>
      <c r="D175" s="105" t="s">
        <v>300</v>
      </c>
      <c r="E175" s="17">
        <f>E176</f>
        <v>11885.3</v>
      </c>
      <c r="F175" s="17">
        <f>F176</f>
        <v>11091.8</v>
      </c>
    </row>
    <row r="176" spans="1:6" ht="31.5">
      <c r="A176" s="104" t="s">
        <v>6</v>
      </c>
      <c r="B176" s="104" t="s">
        <v>299</v>
      </c>
      <c r="C176" s="106" t="s">
        <v>69</v>
      </c>
      <c r="D176" s="105" t="s">
        <v>92</v>
      </c>
      <c r="E176" s="17">
        <f>E177</f>
        <v>11885.3</v>
      </c>
      <c r="F176" s="17">
        <f>F177</f>
        <v>11091.8</v>
      </c>
    </row>
    <row r="177" spans="1:6" ht="31.5">
      <c r="A177" s="104" t="s">
        <v>6</v>
      </c>
      <c r="B177" s="104" t="s">
        <v>299</v>
      </c>
      <c r="C177" s="104">
        <v>240</v>
      </c>
      <c r="D177" s="105" t="s">
        <v>245</v>
      </c>
      <c r="E177" s="17">
        <f>'№ 6 ведом'!F140</f>
        <v>11885.3</v>
      </c>
      <c r="F177" s="17">
        <f>'№ 6 ведом'!G140</f>
        <v>11091.8</v>
      </c>
    </row>
    <row r="178" spans="1:6" ht="47.25">
      <c r="A178" s="104" t="s">
        <v>6</v>
      </c>
      <c r="B178" s="104">
        <v>1410300000</v>
      </c>
      <c r="C178" s="104"/>
      <c r="D178" s="105" t="s">
        <v>268</v>
      </c>
      <c r="E178" s="17">
        <f>E179+E185+E182</f>
        <v>12473.3</v>
      </c>
      <c r="F178" s="17">
        <f>F179+F185+F182</f>
        <v>12234.2</v>
      </c>
    </row>
    <row r="179" spans="1:6" ht="47.25">
      <c r="A179" s="104" t="s">
        <v>6</v>
      </c>
      <c r="B179" s="104">
        <v>1410311020</v>
      </c>
      <c r="C179" s="104"/>
      <c r="D179" s="105" t="s">
        <v>279</v>
      </c>
      <c r="E179" s="17">
        <f>E180</f>
        <v>5279.2</v>
      </c>
      <c r="F179" s="17">
        <f>F180</f>
        <v>5279.2</v>
      </c>
    </row>
    <row r="180" spans="1:6" ht="31.5">
      <c r="A180" s="104" t="s">
        <v>6</v>
      </c>
      <c r="B180" s="104">
        <v>1410311020</v>
      </c>
      <c r="C180" s="106" t="s">
        <v>69</v>
      </c>
      <c r="D180" s="105" t="s">
        <v>92</v>
      </c>
      <c r="E180" s="17">
        <f>E181</f>
        <v>5279.2</v>
      </c>
      <c r="F180" s="17">
        <f>F181</f>
        <v>5279.2</v>
      </c>
    </row>
    <row r="181" spans="1:6" ht="31.5">
      <c r="A181" s="104" t="s">
        <v>6</v>
      </c>
      <c r="B181" s="104">
        <v>1410311020</v>
      </c>
      <c r="C181" s="104">
        <v>240</v>
      </c>
      <c r="D181" s="105" t="s">
        <v>245</v>
      </c>
      <c r="E181" s="17">
        <f>'№ 6 ведом'!F144</f>
        <v>5279.2</v>
      </c>
      <c r="F181" s="17">
        <f>'№ 6 ведом'!G144</f>
        <v>5279.2</v>
      </c>
    </row>
    <row r="182" spans="1:6" ht="12.75">
      <c r="A182" s="104" t="s">
        <v>6</v>
      </c>
      <c r="B182" s="104">
        <v>1410320110</v>
      </c>
      <c r="C182" s="104"/>
      <c r="D182" s="54" t="s">
        <v>266</v>
      </c>
      <c r="E182" s="17">
        <f>E183</f>
        <v>62</v>
      </c>
      <c r="F182" s="17">
        <f>F183</f>
        <v>61.7</v>
      </c>
    </row>
    <row r="183" spans="1:6" ht="31.5">
      <c r="A183" s="104" t="s">
        <v>6</v>
      </c>
      <c r="B183" s="104">
        <v>1410320110</v>
      </c>
      <c r="C183" s="106" t="s">
        <v>69</v>
      </c>
      <c r="D183" s="54" t="s">
        <v>92</v>
      </c>
      <c r="E183" s="17">
        <f>E184</f>
        <v>62</v>
      </c>
      <c r="F183" s="17">
        <f>F184</f>
        <v>61.7</v>
      </c>
    </row>
    <row r="184" spans="1:6" ht="31.5">
      <c r="A184" s="104" t="s">
        <v>6</v>
      </c>
      <c r="B184" s="104">
        <v>1410320110</v>
      </c>
      <c r="C184" s="104">
        <v>240</v>
      </c>
      <c r="D184" s="54" t="s">
        <v>245</v>
      </c>
      <c r="E184" s="17">
        <f>'№ 6 ведом'!F147</f>
        <v>62</v>
      </c>
      <c r="F184" s="17">
        <f>'№ 6 ведом'!G147</f>
        <v>61.7</v>
      </c>
    </row>
    <row r="185" spans="1:6" ht="47.25">
      <c r="A185" s="104" t="s">
        <v>6</v>
      </c>
      <c r="B185" s="104" t="s">
        <v>301</v>
      </c>
      <c r="C185" s="104"/>
      <c r="D185" s="105" t="s">
        <v>302</v>
      </c>
      <c r="E185" s="17">
        <f>E186</f>
        <v>7132.1</v>
      </c>
      <c r="F185" s="17">
        <f>F186</f>
        <v>6893.3</v>
      </c>
    </row>
    <row r="186" spans="1:6" ht="31.5">
      <c r="A186" s="104" t="s">
        <v>6</v>
      </c>
      <c r="B186" s="104" t="s">
        <v>301</v>
      </c>
      <c r="C186" s="106" t="s">
        <v>69</v>
      </c>
      <c r="D186" s="105" t="s">
        <v>92</v>
      </c>
      <c r="E186" s="17">
        <f>E187</f>
        <v>7132.1</v>
      </c>
      <c r="F186" s="17">
        <f>F187</f>
        <v>6893.3</v>
      </c>
    </row>
    <row r="187" spans="1:6" ht="31.5">
      <c r="A187" s="104" t="s">
        <v>6</v>
      </c>
      <c r="B187" s="104" t="s">
        <v>301</v>
      </c>
      <c r="C187" s="104">
        <v>240</v>
      </c>
      <c r="D187" s="105" t="s">
        <v>245</v>
      </c>
      <c r="E187" s="17">
        <f>'№ 6 ведом'!F150</f>
        <v>7132.1</v>
      </c>
      <c r="F187" s="17">
        <f>'№ 6 ведом'!G150</f>
        <v>6893.3</v>
      </c>
    </row>
    <row r="188" spans="1:6" ht="31.5">
      <c r="A188" s="104" t="s">
        <v>6</v>
      </c>
      <c r="B188" s="106">
        <v>1420000000</v>
      </c>
      <c r="C188" s="104"/>
      <c r="D188" s="48" t="s">
        <v>125</v>
      </c>
      <c r="E188" s="17">
        <f>E189+E193</f>
        <v>4271.9</v>
      </c>
      <c r="F188" s="17">
        <f>F189+F193</f>
        <v>2596.3</v>
      </c>
    </row>
    <row r="189" spans="1:6" ht="31.5">
      <c r="A189" s="104" t="s">
        <v>6</v>
      </c>
      <c r="B189" s="106">
        <v>1420100000</v>
      </c>
      <c r="C189" s="104"/>
      <c r="D189" s="48" t="s">
        <v>197</v>
      </c>
      <c r="E189" s="17">
        <f aca="true" t="shared" si="14" ref="E189:F191">E190</f>
        <v>1091.8</v>
      </c>
      <c r="F189" s="17">
        <f t="shared" si="14"/>
        <v>1091.1</v>
      </c>
    </row>
    <row r="190" spans="1:6" ht="12.75">
      <c r="A190" s="104" t="s">
        <v>6</v>
      </c>
      <c r="B190" s="104">
        <v>1420120120</v>
      </c>
      <c r="C190" s="104"/>
      <c r="D190" s="48" t="s">
        <v>126</v>
      </c>
      <c r="E190" s="17">
        <f t="shared" si="14"/>
        <v>1091.8</v>
      </c>
      <c r="F190" s="17">
        <f t="shared" si="14"/>
        <v>1091.1</v>
      </c>
    </row>
    <row r="191" spans="1:6" ht="31.5">
      <c r="A191" s="104" t="s">
        <v>6</v>
      </c>
      <c r="B191" s="104">
        <v>1420120120</v>
      </c>
      <c r="C191" s="106" t="s">
        <v>69</v>
      </c>
      <c r="D191" s="105" t="s">
        <v>92</v>
      </c>
      <c r="E191" s="17">
        <f t="shared" si="14"/>
        <v>1091.8</v>
      </c>
      <c r="F191" s="17">
        <f t="shared" si="14"/>
        <v>1091.1</v>
      </c>
    </row>
    <row r="192" spans="1:6" ht="31.5">
      <c r="A192" s="104" t="s">
        <v>6</v>
      </c>
      <c r="B192" s="104">
        <v>1420120120</v>
      </c>
      <c r="C192" s="104">
        <v>240</v>
      </c>
      <c r="D192" s="105" t="s">
        <v>245</v>
      </c>
      <c r="E192" s="17">
        <f>'№ 6 ведом'!F155</f>
        <v>1091.8</v>
      </c>
      <c r="F192" s="17">
        <f>'№ 6 ведом'!G155</f>
        <v>1091.1</v>
      </c>
    </row>
    <row r="193" spans="1:6" ht="47.25">
      <c r="A193" s="104" t="s">
        <v>6</v>
      </c>
      <c r="B193" s="104" t="s">
        <v>280</v>
      </c>
      <c r="C193" s="104"/>
      <c r="D193" s="105" t="s">
        <v>281</v>
      </c>
      <c r="E193" s="17">
        <f>E194+E200+E197</f>
        <v>3180.1</v>
      </c>
      <c r="F193" s="17">
        <f>F194+F200+F197</f>
        <v>1505.2</v>
      </c>
    </row>
    <row r="194" spans="1:6" ht="63">
      <c r="A194" s="104" t="s">
        <v>6</v>
      </c>
      <c r="B194" s="104" t="s">
        <v>282</v>
      </c>
      <c r="C194" s="104"/>
      <c r="D194" s="105" t="s">
        <v>283</v>
      </c>
      <c r="E194" s="17">
        <f>E195</f>
        <v>2532.1</v>
      </c>
      <c r="F194" s="17">
        <f>F195</f>
        <v>1193.2</v>
      </c>
    </row>
    <row r="195" spans="1:6" ht="31.5">
      <c r="A195" s="104" t="s">
        <v>6</v>
      </c>
      <c r="B195" s="104" t="s">
        <v>282</v>
      </c>
      <c r="C195" s="106" t="s">
        <v>69</v>
      </c>
      <c r="D195" s="105" t="s">
        <v>92</v>
      </c>
      <c r="E195" s="17">
        <f>E196</f>
        <v>2532.1</v>
      </c>
      <c r="F195" s="17">
        <f>F196</f>
        <v>1193.2</v>
      </c>
    </row>
    <row r="196" spans="1:6" ht="31.5">
      <c r="A196" s="104" t="s">
        <v>6</v>
      </c>
      <c r="B196" s="104" t="s">
        <v>282</v>
      </c>
      <c r="C196" s="104">
        <v>240</v>
      </c>
      <c r="D196" s="105" t="s">
        <v>245</v>
      </c>
      <c r="E196" s="17">
        <f>'№ 6 ведом'!F159</f>
        <v>2532.1</v>
      </c>
      <c r="F196" s="17">
        <f>'№ 6 ведом'!G159</f>
        <v>1193.2</v>
      </c>
    </row>
    <row r="197" spans="1:6" ht="12.75">
      <c r="A197" s="104" t="s">
        <v>6</v>
      </c>
      <c r="B197" s="104" t="s">
        <v>371</v>
      </c>
      <c r="C197" s="104"/>
      <c r="D197" s="54" t="s">
        <v>266</v>
      </c>
      <c r="E197" s="17">
        <f>E198</f>
        <v>15</v>
      </c>
      <c r="F197" s="17">
        <f>F198</f>
        <v>13.7</v>
      </c>
    </row>
    <row r="198" spans="1:6" ht="31.5">
      <c r="A198" s="104" t="s">
        <v>6</v>
      </c>
      <c r="B198" s="104" t="s">
        <v>371</v>
      </c>
      <c r="C198" s="106" t="s">
        <v>69</v>
      </c>
      <c r="D198" s="105" t="s">
        <v>92</v>
      </c>
      <c r="E198" s="17">
        <f>E199</f>
        <v>15</v>
      </c>
      <c r="F198" s="17">
        <f>F199</f>
        <v>13.7</v>
      </c>
    </row>
    <row r="199" spans="1:6" ht="31.5">
      <c r="A199" s="104" t="s">
        <v>6</v>
      </c>
      <c r="B199" s="104" t="s">
        <v>371</v>
      </c>
      <c r="C199" s="104">
        <v>240</v>
      </c>
      <c r="D199" s="105" t="s">
        <v>245</v>
      </c>
      <c r="E199" s="17">
        <f>'№ 6 ведом'!F162</f>
        <v>15</v>
      </c>
      <c r="F199" s="17">
        <f>'№ 6 ведом'!G162</f>
        <v>13.7</v>
      </c>
    </row>
    <row r="200" spans="1:6" ht="47.25">
      <c r="A200" s="104" t="s">
        <v>6</v>
      </c>
      <c r="B200" s="104" t="s">
        <v>271</v>
      </c>
      <c r="C200" s="104"/>
      <c r="D200" s="105" t="s">
        <v>267</v>
      </c>
      <c r="E200" s="17">
        <f>E201</f>
        <v>633</v>
      </c>
      <c r="F200" s="17">
        <f>F201</f>
        <v>298.3</v>
      </c>
    </row>
    <row r="201" spans="1:6" ht="31.5">
      <c r="A201" s="104" t="s">
        <v>6</v>
      </c>
      <c r="B201" s="104" t="s">
        <v>271</v>
      </c>
      <c r="C201" s="106" t="s">
        <v>69</v>
      </c>
      <c r="D201" s="105" t="s">
        <v>92</v>
      </c>
      <c r="E201" s="17">
        <f>E202</f>
        <v>633</v>
      </c>
      <c r="F201" s="17">
        <f>F202</f>
        <v>298.3</v>
      </c>
    </row>
    <row r="202" spans="1:6" ht="31.5">
      <c r="A202" s="104" t="s">
        <v>6</v>
      </c>
      <c r="B202" s="104" t="s">
        <v>271</v>
      </c>
      <c r="C202" s="104">
        <v>240</v>
      </c>
      <c r="D202" s="105" t="s">
        <v>245</v>
      </c>
      <c r="E202" s="17">
        <f>'№ 6 ведом'!F165</f>
        <v>633</v>
      </c>
      <c r="F202" s="17">
        <f>'№ 6 ведом'!G165</f>
        <v>298.3</v>
      </c>
    </row>
    <row r="203" spans="1:6" ht="12.75">
      <c r="A203" s="104" t="s">
        <v>6</v>
      </c>
      <c r="B203" s="106" t="s">
        <v>107</v>
      </c>
      <c r="C203" s="106" t="s">
        <v>66</v>
      </c>
      <c r="D203" s="54" t="s">
        <v>102</v>
      </c>
      <c r="E203" s="17">
        <f aca="true" t="shared" si="15" ref="E203:F206">E204</f>
        <v>400</v>
      </c>
      <c r="F203" s="17">
        <f t="shared" si="15"/>
        <v>400</v>
      </c>
    </row>
    <row r="204" spans="1:6" ht="31.5">
      <c r="A204" s="104" t="s">
        <v>6</v>
      </c>
      <c r="B204" s="104">
        <v>9930000000</v>
      </c>
      <c r="C204" s="104"/>
      <c r="D204" s="54" t="s">
        <v>165</v>
      </c>
      <c r="E204" s="17">
        <f t="shared" si="15"/>
        <v>400</v>
      </c>
      <c r="F204" s="17">
        <f t="shared" si="15"/>
        <v>400</v>
      </c>
    </row>
    <row r="205" spans="1:6" ht="31.5">
      <c r="A205" s="104" t="s">
        <v>6</v>
      </c>
      <c r="B205" s="104">
        <v>9930020490</v>
      </c>
      <c r="C205" s="104"/>
      <c r="D205" s="54" t="s">
        <v>367</v>
      </c>
      <c r="E205" s="17">
        <f t="shared" si="15"/>
        <v>400</v>
      </c>
      <c r="F205" s="17">
        <f t="shared" si="15"/>
        <v>400</v>
      </c>
    </row>
    <row r="206" spans="1:6" ht="12.75">
      <c r="A206" s="104" t="s">
        <v>6</v>
      </c>
      <c r="B206" s="104">
        <v>9930020490</v>
      </c>
      <c r="C206" s="11" t="s">
        <v>70</v>
      </c>
      <c r="D206" s="42" t="s">
        <v>71</v>
      </c>
      <c r="E206" s="17">
        <f t="shared" si="15"/>
        <v>400</v>
      </c>
      <c r="F206" s="17">
        <f t="shared" si="15"/>
        <v>400</v>
      </c>
    </row>
    <row r="207" spans="1:6" ht="12.75">
      <c r="A207" s="104" t="s">
        <v>6</v>
      </c>
      <c r="B207" s="104">
        <v>9930020490</v>
      </c>
      <c r="C207" s="1" t="s">
        <v>368</v>
      </c>
      <c r="D207" s="57" t="s">
        <v>369</v>
      </c>
      <c r="E207" s="17">
        <f>'№ 6 ведом'!F170</f>
        <v>400</v>
      </c>
      <c r="F207" s="17">
        <f>'№ 6 ведом'!G170</f>
        <v>400</v>
      </c>
    </row>
    <row r="208" spans="1:6" ht="12.75">
      <c r="A208" s="104" t="s">
        <v>48</v>
      </c>
      <c r="B208" s="104" t="s">
        <v>66</v>
      </c>
      <c r="C208" s="104" t="s">
        <v>66</v>
      </c>
      <c r="D208" s="48" t="s">
        <v>26</v>
      </c>
      <c r="E208" s="17">
        <f aca="true" t="shared" si="16" ref="E208:F213">E209</f>
        <v>480.1</v>
      </c>
      <c r="F208" s="17">
        <f t="shared" si="16"/>
        <v>480</v>
      </c>
    </row>
    <row r="209" spans="1:6" ht="47.25">
      <c r="A209" s="104" t="s">
        <v>48</v>
      </c>
      <c r="B209" s="106">
        <v>1600000000</v>
      </c>
      <c r="C209" s="24"/>
      <c r="D209" s="105" t="s">
        <v>111</v>
      </c>
      <c r="E209" s="17">
        <f>E210+E215</f>
        <v>480.1</v>
      </c>
      <c r="F209" s="17">
        <f>F210+F215</f>
        <v>480</v>
      </c>
    </row>
    <row r="210" spans="1:6" ht="31.5">
      <c r="A210" s="104" t="s">
        <v>48</v>
      </c>
      <c r="B210" s="106">
        <v>1610000000</v>
      </c>
      <c r="C210" s="104"/>
      <c r="D210" s="48" t="s">
        <v>223</v>
      </c>
      <c r="E210" s="17">
        <f>E211</f>
        <v>180.1</v>
      </c>
      <c r="F210" s="17">
        <f>F211</f>
        <v>180.1</v>
      </c>
    </row>
    <row r="211" spans="1:6" ht="47.25">
      <c r="A211" s="104" t="s">
        <v>48</v>
      </c>
      <c r="B211" s="106">
        <v>1610500000</v>
      </c>
      <c r="C211" s="104"/>
      <c r="D211" s="105" t="s">
        <v>341</v>
      </c>
      <c r="E211" s="17">
        <f t="shared" si="16"/>
        <v>180.1</v>
      </c>
      <c r="F211" s="17">
        <f t="shared" si="16"/>
        <v>180.1</v>
      </c>
    </row>
    <row r="212" spans="1:6" ht="31.5">
      <c r="A212" s="104" t="s">
        <v>48</v>
      </c>
      <c r="B212" s="106">
        <v>1610520400</v>
      </c>
      <c r="C212" s="104"/>
      <c r="D212" s="105" t="s">
        <v>342</v>
      </c>
      <c r="E212" s="17">
        <f t="shared" si="16"/>
        <v>180.1</v>
      </c>
      <c r="F212" s="17">
        <f t="shared" si="16"/>
        <v>180.1</v>
      </c>
    </row>
    <row r="213" spans="1:6" ht="31.5">
      <c r="A213" s="104" t="s">
        <v>48</v>
      </c>
      <c r="B213" s="106">
        <v>1610520400</v>
      </c>
      <c r="C213" s="106" t="s">
        <v>94</v>
      </c>
      <c r="D213" s="105" t="s">
        <v>95</v>
      </c>
      <c r="E213" s="17">
        <f t="shared" si="16"/>
        <v>180.1</v>
      </c>
      <c r="F213" s="17">
        <f t="shared" si="16"/>
        <v>180.1</v>
      </c>
    </row>
    <row r="214" spans="1:6" ht="12.75">
      <c r="A214" s="104" t="s">
        <v>48</v>
      </c>
      <c r="B214" s="106">
        <v>1610520400</v>
      </c>
      <c r="C214" s="104">
        <v>610</v>
      </c>
      <c r="D214" s="105" t="s">
        <v>101</v>
      </c>
      <c r="E214" s="17">
        <f>'№ 6 ведом'!F177</f>
        <v>180.1</v>
      </c>
      <c r="F214" s="17">
        <f>'№ 6 ведом'!G177</f>
        <v>180.1</v>
      </c>
    </row>
    <row r="215" spans="1:6" ht="31.5">
      <c r="A215" s="106" t="s">
        <v>48</v>
      </c>
      <c r="B215" s="106">
        <v>1620000000</v>
      </c>
      <c r="C215" s="106"/>
      <c r="D215" s="105" t="s">
        <v>104</v>
      </c>
      <c r="E215" s="17">
        <f aca="true" t="shared" si="17" ref="E215:F218">E216</f>
        <v>300</v>
      </c>
      <c r="F215" s="17">
        <f t="shared" si="17"/>
        <v>299.9</v>
      </c>
    </row>
    <row r="216" spans="1:6" ht="12.75">
      <c r="A216" s="106" t="s">
        <v>48</v>
      </c>
      <c r="B216" s="106">
        <v>1620100000</v>
      </c>
      <c r="C216" s="106"/>
      <c r="D216" s="105" t="s">
        <v>105</v>
      </c>
      <c r="E216" s="17">
        <f t="shared" si="17"/>
        <v>300</v>
      </c>
      <c r="F216" s="17">
        <f t="shared" si="17"/>
        <v>299.9</v>
      </c>
    </row>
    <row r="217" spans="1:6" ht="31.5">
      <c r="A217" s="106" t="s">
        <v>48</v>
      </c>
      <c r="B217" s="106">
        <v>1620120240</v>
      </c>
      <c r="C217" s="106"/>
      <c r="D217" s="105" t="s">
        <v>108</v>
      </c>
      <c r="E217" s="17">
        <f t="shared" si="17"/>
        <v>300</v>
      </c>
      <c r="F217" s="17">
        <f t="shared" si="17"/>
        <v>299.9</v>
      </c>
    </row>
    <row r="218" spans="1:6" ht="31.5">
      <c r="A218" s="106" t="s">
        <v>48</v>
      </c>
      <c r="B218" s="106">
        <v>1620120240</v>
      </c>
      <c r="C218" s="106" t="s">
        <v>69</v>
      </c>
      <c r="D218" s="105" t="s">
        <v>92</v>
      </c>
      <c r="E218" s="17">
        <f t="shared" si="17"/>
        <v>300</v>
      </c>
      <c r="F218" s="17">
        <f t="shared" si="17"/>
        <v>299.9</v>
      </c>
    </row>
    <row r="219" spans="1:6" ht="31.5">
      <c r="A219" s="106" t="s">
        <v>48</v>
      </c>
      <c r="B219" s="106">
        <v>1620120240</v>
      </c>
      <c r="C219" s="104">
        <v>240</v>
      </c>
      <c r="D219" s="105" t="s">
        <v>245</v>
      </c>
      <c r="E219" s="17">
        <f>'№ 6 ведом'!F527</f>
        <v>300</v>
      </c>
      <c r="F219" s="17">
        <f>'№ 6 ведом'!G527</f>
        <v>299.9</v>
      </c>
    </row>
    <row r="220" spans="1:6" ht="12.75">
      <c r="A220" s="4" t="s">
        <v>57</v>
      </c>
      <c r="B220" s="4" t="s">
        <v>66</v>
      </c>
      <c r="C220" s="4" t="s">
        <v>66</v>
      </c>
      <c r="D220" s="19" t="s">
        <v>27</v>
      </c>
      <c r="E220" s="6">
        <f>E221+E252+E228</f>
        <v>83340.4</v>
      </c>
      <c r="F220" s="6">
        <f>F221+F252+F228</f>
        <v>46753.3</v>
      </c>
    </row>
    <row r="221" spans="1:6" ht="12.75">
      <c r="A221" s="106" t="s">
        <v>4</v>
      </c>
      <c r="B221" s="106" t="s">
        <v>66</v>
      </c>
      <c r="C221" s="106" t="s">
        <v>66</v>
      </c>
      <c r="D221" s="105" t="s">
        <v>5</v>
      </c>
      <c r="E221" s="17">
        <f aca="true" t="shared" si="18" ref="E221:F226">E222</f>
        <v>2221.4</v>
      </c>
      <c r="F221" s="17">
        <f t="shared" si="18"/>
        <v>2221.4</v>
      </c>
    </row>
    <row r="222" spans="1:6" ht="47.25">
      <c r="A222" s="106" t="s">
        <v>4</v>
      </c>
      <c r="B222" s="106">
        <v>1600000000</v>
      </c>
      <c r="C222" s="106"/>
      <c r="D222" s="105" t="s">
        <v>111</v>
      </c>
      <c r="E222" s="17">
        <f t="shared" si="18"/>
        <v>2221.4</v>
      </c>
      <c r="F222" s="17">
        <f t="shared" si="18"/>
        <v>2221.4</v>
      </c>
    </row>
    <row r="223" spans="1:6" ht="31.5">
      <c r="A223" s="106" t="s">
        <v>4</v>
      </c>
      <c r="B223" s="106">
        <v>1620000000</v>
      </c>
      <c r="C223" s="106"/>
      <c r="D223" s="105" t="s">
        <v>104</v>
      </c>
      <c r="E223" s="17">
        <f t="shared" si="18"/>
        <v>2221.4</v>
      </c>
      <c r="F223" s="17">
        <f t="shared" si="18"/>
        <v>2221.4</v>
      </c>
    </row>
    <row r="224" spans="1:6" ht="12.75">
      <c r="A224" s="106" t="s">
        <v>4</v>
      </c>
      <c r="B224" s="106">
        <v>1620100000</v>
      </c>
      <c r="C224" s="106"/>
      <c r="D224" s="105" t="s">
        <v>105</v>
      </c>
      <c r="E224" s="17">
        <f t="shared" si="18"/>
        <v>2221.4</v>
      </c>
      <c r="F224" s="17">
        <f t="shared" si="18"/>
        <v>2221.4</v>
      </c>
    </row>
    <row r="225" spans="1:6" ht="47.25">
      <c r="A225" s="106" t="s">
        <v>4</v>
      </c>
      <c r="B225" s="106">
        <v>1620120230</v>
      </c>
      <c r="C225" s="106"/>
      <c r="D225" s="105" t="s">
        <v>110</v>
      </c>
      <c r="E225" s="17">
        <f t="shared" si="18"/>
        <v>2221.4</v>
      </c>
      <c r="F225" s="17">
        <f t="shared" si="18"/>
        <v>2221.4</v>
      </c>
    </row>
    <row r="226" spans="1:6" ht="31.5">
      <c r="A226" s="106" t="s">
        <v>4</v>
      </c>
      <c r="B226" s="106">
        <v>1620120230</v>
      </c>
      <c r="C226" s="106" t="s">
        <v>69</v>
      </c>
      <c r="D226" s="105" t="s">
        <v>92</v>
      </c>
      <c r="E226" s="17">
        <f t="shared" si="18"/>
        <v>2221.4</v>
      </c>
      <c r="F226" s="17">
        <f t="shared" si="18"/>
        <v>2221.4</v>
      </c>
    </row>
    <row r="227" spans="1:6" ht="31.5">
      <c r="A227" s="106" t="s">
        <v>4</v>
      </c>
      <c r="B227" s="106">
        <v>1620120230</v>
      </c>
      <c r="C227" s="104">
        <v>240</v>
      </c>
      <c r="D227" s="105" t="s">
        <v>245</v>
      </c>
      <c r="E227" s="17">
        <f>'№ 6 ведом'!F535</f>
        <v>2221.4</v>
      </c>
      <c r="F227" s="17">
        <f>'№ 6 ведом'!G535</f>
        <v>2221.4</v>
      </c>
    </row>
    <row r="228" spans="1:6" ht="12.75">
      <c r="A228" s="22" t="s">
        <v>272</v>
      </c>
      <c r="B228" s="104"/>
      <c r="C228" s="104"/>
      <c r="D228" s="108" t="s">
        <v>273</v>
      </c>
      <c r="E228" s="17">
        <f>E229+E243</f>
        <v>43833.2</v>
      </c>
      <c r="F228" s="17">
        <f>F229+F243</f>
        <v>8901.7</v>
      </c>
    </row>
    <row r="229" spans="1:6" ht="47.25">
      <c r="A229" s="22" t="s">
        <v>272</v>
      </c>
      <c r="B229" s="106">
        <v>1400000000</v>
      </c>
      <c r="C229" s="104"/>
      <c r="D229" s="54" t="s">
        <v>194</v>
      </c>
      <c r="E229" s="17">
        <f>E230</f>
        <v>12029.2</v>
      </c>
      <c r="F229" s="17">
        <f>F230</f>
        <v>8901.7</v>
      </c>
    </row>
    <row r="230" spans="1:6" ht="12.75">
      <c r="A230" s="22" t="s">
        <v>272</v>
      </c>
      <c r="B230" s="106">
        <v>1430000000</v>
      </c>
      <c r="C230" s="104"/>
      <c r="D230" s="8" t="s">
        <v>274</v>
      </c>
      <c r="E230" s="17">
        <f>E231</f>
        <v>12029.2</v>
      </c>
      <c r="F230" s="17">
        <f>F231</f>
        <v>8901.7</v>
      </c>
    </row>
    <row r="231" spans="1:6" ht="31.5">
      <c r="A231" s="22" t="s">
        <v>272</v>
      </c>
      <c r="B231" s="104">
        <v>1430100000</v>
      </c>
      <c r="C231" s="104"/>
      <c r="D231" s="8" t="s">
        <v>275</v>
      </c>
      <c r="E231" s="17">
        <f>E240+E235+E232</f>
        <v>12029.2</v>
      </c>
      <c r="F231" s="17">
        <f>F240+F235+F232</f>
        <v>8901.7</v>
      </c>
    </row>
    <row r="232" spans="1:6" ht="31.5">
      <c r="A232" s="22" t="s">
        <v>272</v>
      </c>
      <c r="B232" s="131">
        <v>1430110110</v>
      </c>
      <c r="C232" s="131"/>
      <c r="D232" s="42" t="s">
        <v>392</v>
      </c>
      <c r="E232" s="17">
        <f>E233</f>
        <v>5456.2</v>
      </c>
      <c r="F232" s="17">
        <f>F233</f>
        <v>5455.8</v>
      </c>
    </row>
    <row r="233" spans="1:6" ht="31.5">
      <c r="A233" s="22" t="s">
        <v>272</v>
      </c>
      <c r="B233" s="131">
        <v>1430110110</v>
      </c>
      <c r="C233" s="133" t="s">
        <v>72</v>
      </c>
      <c r="D233" s="132" t="s">
        <v>93</v>
      </c>
      <c r="E233" s="17">
        <f>E234</f>
        <v>5456.2</v>
      </c>
      <c r="F233" s="17">
        <f>F234</f>
        <v>5455.8</v>
      </c>
    </row>
    <row r="234" spans="1:6" ht="12.75">
      <c r="A234" s="22" t="s">
        <v>272</v>
      </c>
      <c r="B234" s="131">
        <v>1430110110</v>
      </c>
      <c r="C234" s="133" t="s">
        <v>117</v>
      </c>
      <c r="D234" s="54" t="s">
        <v>118</v>
      </c>
      <c r="E234" s="17">
        <f>'№ 6 ведом'!F185</f>
        <v>5456.2</v>
      </c>
      <c r="F234" s="17">
        <f>'№ 6 ведом'!G185</f>
        <v>5455.8</v>
      </c>
    </row>
    <row r="235" spans="1:6" ht="12.75">
      <c r="A235" s="22" t="s">
        <v>272</v>
      </c>
      <c r="B235" s="104">
        <v>1430120100</v>
      </c>
      <c r="C235" s="104"/>
      <c r="D235" s="42" t="s">
        <v>370</v>
      </c>
      <c r="E235" s="17">
        <f>E236+E238</f>
        <v>5209</v>
      </c>
      <c r="F235" s="17">
        <f>F236+F238</f>
        <v>2081.9</v>
      </c>
    </row>
    <row r="236" spans="1:6" ht="31.5">
      <c r="A236" s="22" t="s">
        <v>272</v>
      </c>
      <c r="B236" s="104">
        <v>1430120100</v>
      </c>
      <c r="C236" s="106" t="s">
        <v>69</v>
      </c>
      <c r="D236" s="105" t="s">
        <v>92</v>
      </c>
      <c r="E236" s="17">
        <f>E237</f>
        <v>1879.3000000000002</v>
      </c>
      <c r="F236" s="17">
        <f>F237</f>
        <v>1106.7</v>
      </c>
    </row>
    <row r="237" spans="1:6" ht="31.5">
      <c r="A237" s="22" t="s">
        <v>272</v>
      </c>
      <c r="B237" s="104">
        <v>1430120100</v>
      </c>
      <c r="C237" s="104">
        <v>240</v>
      </c>
      <c r="D237" s="105" t="s">
        <v>245</v>
      </c>
      <c r="E237" s="17">
        <f>'№ 6 ведом'!F188</f>
        <v>1879.3000000000002</v>
      </c>
      <c r="F237" s="17">
        <f>'№ 6 ведом'!G188</f>
        <v>1106.7</v>
      </c>
    </row>
    <row r="238" spans="1:6" ht="31.5">
      <c r="A238" s="22" t="s">
        <v>272</v>
      </c>
      <c r="B238" s="104">
        <v>1430120100</v>
      </c>
      <c r="C238" s="106" t="s">
        <v>72</v>
      </c>
      <c r="D238" s="54" t="s">
        <v>93</v>
      </c>
      <c r="E238" s="17">
        <f>E239</f>
        <v>3329.7</v>
      </c>
      <c r="F238" s="17">
        <f>F239</f>
        <v>975.2</v>
      </c>
    </row>
    <row r="239" spans="1:6" ht="12.75">
      <c r="A239" s="22" t="s">
        <v>272</v>
      </c>
      <c r="B239" s="104">
        <v>1430120100</v>
      </c>
      <c r="C239" s="106" t="s">
        <v>117</v>
      </c>
      <c r="D239" s="54" t="s">
        <v>118</v>
      </c>
      <c r="E239" s="17">
        <f>'№ 6 ведом'!F190</f>
        <v>3329.7</v>
      </c>
      <c r="F239" s="17">
        <f>'№ 6 ведом'!G190</f>
        <v>975.2</v>
      </c>
    </row>
    <row r="240" spans="1:6" ht="31.5">
      <c r="A240" s="22" t="s">
        <v>272</v>
      </c>
      <c r="B240" s="104" t="s">
        <v>343</v>
      </c>
      <c r="C240" s="104"/>
      <c r="D240" s="42" t="s">
        <v>344</v>
      </c>
      <c r="E240" s="17">
        <f>E241</f>
        <v>1364</v>
      </c>
      <c r="F240" s="17">
        <f>F241</f>
        <v>1364</v>
      </c>
    </row>
    <row r="241" spans="1:6" ht="31.5">
      <c r="A241" s="22" t="s">
        <v>272</v>
      </c>
      <c r="B241" s="104" t="s">
        <v>343</v>
      </c>
      <c r="C241" s="106" t="s">
        <v>72</v>
      </c>
      <c r="D241" s="54" t="s">
        <v>93</v>
      </c>
      <c r="E241" s="17">
        <f>E242</f>
        <v>1364</v>
      </c>
      <c r="F241" s="17">
        <f>F242</f>
        <v>1364</v>
      </c>
    </row>
    <row r="242" spans="1:6" ht="12.75">
      <c r="A242" s="22" t="s">
        <v>272</v>
      </c>
      <c r="B242" s="104" t="s">
        <v>343</v>
      </c>
      <c r="C242" s="106" t="s">
        <v>117</v>
      </c>
      <c r="D242" s="54" t="s">
        <v>118</v>
      </c>
      <c r="E242" s="17">
        <f>'№ 6 ведом'!F193</f>
        <v>1364</v>
      </c>
      <c r="F242" s="17">
        <f>'№ 6 ведом'!G193</f>
        <v>1364</v>
      </c>
    </row>
    <row r="243" spans="1:6" ht="47.25">
      <c r="A243" s="22" t="s">
        <v>272</v>
      </c>
      <c r="B243" s="106">
        <v>1600000000</v>
      </c>
      <c r="C243" s="106"/>
      <c r="D243" s="105" t="s">
        <v>111</v>
      </c>
      <c r="E243" s="17">
        <f>E244</f>
        <v>31804</v>
      </c>
      <c r="F243" s="17">
        <f>F244</f>
        <v>0</v>
      </c>
    </row>
    <row r="244" spans="1:6" ht="31.5">
      <c r="A244" s="22" t="s">
        <v>272</v>
      </c>
      <c r="B244" s="104">
        <v>1610000000</v>
      </c>
      <c r="C244" s="106"/>
      <c r="D244" s="105" t="s">
        <v>223</v>
      </c>
      <c r="E244" s="17">
        <f>E245</f>
        <v>31804</v>
      </c>
      <c r="F244" s="17">
        <f>F245</f>
        <v>0</v>
      </c>
    </row>
    <row r="245" spans="1:6" ht="31.5">
      <c r="A245" s="22" t="s">
        <v>272</v>
      </c>
      <c r="B245" s="104">
        <v>1610400000</v>
      </c>
      <c r="C245" s="106"/>
      <c r="D245" s="54" t="s">
        <v>294</v>
      </c>
      <c r="E245" s="17">
        <f>E249+E246</f>
        <v>31804</v>
      </c>
      <c r="F245" s="17">
        <f>F249+F246</f>
        <v>0</v>
      </c>
    </row>
    <row r="246" spans="1:6" ht="47.25">
      <c r="A246" s="22" t="s">
        <v>272</v>
      </c>
      <c r="B246" s="104">
        <v>1610411210</v>
      </c>
      <c r="C246" s="106"/>
      <c r="D246" s="54" t="s">
        <v>297</v>
      </c>
      <c r="E246" s="17">
        <f>E247</f>
        <v>31486</v>
      </c>
      <c r="F246" s="17">
        <f>F247</f>
        <v>0</v>
      </c>
    </row>
    <row r="247" spans="1:6" ht="31.5">
      <c r="A247" s="22" t="s">
        <v>272</v>
      </c>
      <c r="B247" s="104">
        <v>1610411210</v>
      </c>
      <c r="C247" s="106" t="s">
        <v>72</v>
      </c>
      <c r="D247" s="54" t="s">
        <v>93</v>
      </c>
      <c r="E247" s="17">
        <f>E248</f>
        <v>31486</v>
      </c>
      <c r="F247" s="17">
        <f>F248</f>
        <v>0</v>
      </c>
    </row>
    <row r="248" spans="1:6" ht="12.75">
      <c r="A248" s="22" t="s">
        <v>272</v>
      </c>
      <c r="B248" s="104">
        <v>1610411210</v>
      </c>
      <c r="C248" s="106" t="s">
        <v>117</v>
      </c>
      <c r="D248" s="54" t="s">
        <v>118</v>
      </c>
      <c r="E248" s="17">
        <f>'№ 6 ведом'!F199</f>
        <v>31486</v>
      </c>
      <c r="F248" s="17">
        <f>'№ 6 ведом'!G199</f>
        <v>0</v>
      </c>
    </row>
    <row r="249" spans="1:6" ht="31.5">
      <c r="A249" s="22" t="s">
        <v>272</v>
      </c>
      <c r="B249" s="104" t="s">
        <v>295</v>
      </c>
      <c r="C249" s="106"/>
      <c r="D249" s="54" t="s">
        <v>296</v>
      </c>
      <c r="E249" s="17">
        <f>E250</f>
        <v>318</v>
      </c>
      <c r="F249" s="17">
        <f>F250</f>
        <v>0</v>
      </c>
    </row>
    <row r="250" spans="1:6" ht="31.5">
      <c r="A250" s="22" t="s">
        <v>272</v>
      </c>
      <c r="B250" s="104" t="s">
        <v>295</v>
      </c>
      <c r="C250" s="106" t="s">
        <v>72</v>
      </c>
      <c r="D250" s="54" t="s">
        <v>93</v>
      </c>
      <c r="E250" s="17">
        <f>E251</f>
        <v>318</v>
      </c>
      <c r="F250" s="17">
        <f>F251</f>
        <v>0</v>
      </c>
    </row>
    <row r="251" spans="1:6" ht="12.75">
      <c r="A251" s="22" t="s">
        <v>272</v>
      </c>
      <c r="B251" s="104" t="s">
        <v>295</v>
      </c>
      <c r="C251" s="106" t="s">
        <v>117</v>
      </c>
      <c r="D251" s="54" t="s">
        <v>118</v>
      </c>
      <c r="E251" s="17">
        <f>'№ 6 ведом'!F202</f>
        <v>318</v>
      </c>
      <c r="F251" s="17">
        <f>'№ 6 ведом'!G202</f>
        <v>0</v>
      </c>
    </row>
    <row r="252" spans="1:6" ht="12.75">
      <c r="A252" s="104" t="s">
        <v>49</v>
      </c>
      <c r="B252" s="104" t="s">
        <v>66</v>
      </c>
      <c r="C252" s="104" t="s">
        <v>66</v>
      </c>
      <c r="D252" s="48" t="s">
        <v>28</v>
      </c>
      <c r="E252" s="17">
        <f>E253+E297</f>
        <v>37285.8</v>
      </c>
      <c r="F252" s="17">
        <f>F253+F297</f>
        <v>35630.200000000004</v>
      </c>
    </row>
    <row r="253" spans="1:6" ht="47.25">
      <c r="A253" s="104" t="s">
        <v>49</v>
      </c>
      <c r="B253" s="106">
        <v>1300000000</v>
      </c>
      <c r="C253" s="104"/>
      <c r="D253" s="48" t="s">
        <v>193</v>
      </c>
      <c r="E253" s="17">
        <f>E254+E262+E289</f>
        <v>37275.8</v>
      </c>
      <c r="F253" s="17">
        <f>F254+F262+F289</f>
        <v>35620.200000000004</v>
      </c>
    </row>
    <row r="254" spans="1:6" ht="47.25">
      <c r="A254" s="104" t="s">
        <v>49</v>
      </c>
      <c r="B254" s="106">
        <v>1310000000</v>
      </c>
      <c r="C254" s="104"/>
      <c r="D254" s="48" t="s">
        <v>232</v>
      </c>
      <c r="E254" s="21">
        <f>E255</f>
        <v>15413.6</v>
      </c>
      <c r="F254" s="21">
        <f>F255</f>
        <v>14903</v>
      </c>
    </row>
    <row r="255" spans="1:6" ht="47.25">
      <c r="A255" s="104" t="s">
        <v>49</v>
      </c>
      <c r="B255" s="106" t="s">
        <v>261</v>
      </c>
      <c r="C255" s="24"/>
      <c r="D255" s="105" t="s">
        <v>260</v>
      </c>
      <c r="E255" s="21">
        <f>E259+E256</f>
        <v>15413.6</v>
      </c>
      <c r="F255" s="21">
        <f>F259+F256</f>
        <v>14903</v>
      </c>
    </row>
    <row r="256" spans="1:6" ht="12.75">
      <c r="A256" s="104" t="s">
        <v>49</v>
      </c>
      <c r="B256" s="104" t="s">
        <v>270</v>
      </c>
      <c r="C256" s="104"/>
      <c r="D256" s="59" t="s">
        <v>265</v>
      </c>
      <c r="E256" s="21">
        <f>E257</f>
        <v>814.1</v>
      </c>
      <c r="F256" s="21">
        <f>F257</f>
        <v>314.1</v>
      </c>
    </row>
    <row r="257" spans="1:6" ht="31.5">
      <c r="A257" s="104" t="s">
        <v>49</v>
      </c>
      <c r="B257" s="104" t="s">
        <v>270</v>
      </c>
      <c r="C257" s="106" t="s">
        <v>69</v>
      </c>
      <c r="D257" s="54" t="s">
        <v>92</v>
      </c>
      <c r="E257" s="21">
        <f>E258</f>
        <v>814.1</v>
      </c>
      <c r="F257" s="21">
        <f>F258</f>
        <v>314.1</v>
      </c>
    </row>
    <row r="258" spans="1:6" ht="31.5">
      <c r="A258" s="104" t="s">
        <v>49</v>
      </c>
      <c r="B258" s="104" t="s">
        <v>270</v>
      </c>
      <c r="C258" s="104">
        <v>240</v>
      </c>
      <c r="D258" s="54" t="s">
        <v>245</v>
      </c>
      <c r="E258" s="21">
        <f>'№ 6 ведом'!F209</f>
        <v>814.1</v>
      </c>
      <c r="F258" s="21">
        <f>'№ 6 ведом'!G209</f>
        <v>314.1</v>
      </c>
    </row>
    <row r="259" spans="1:6" ht="31.5">
      <c r="A259" s="104" t="s">
        <v>49</v>
      </c>
      <c r="B259" s="106" t="s">
        <v>262</v>
      </c>
      <c r="C259" s="104"/>
      <c r="D259" s="99" t="s">
        <v>241</v>
      </c>
      <c r="E259" s="21">
        <f>E260</f>
        <v>14599.5</v>
      </c>
      <c r="F259" s="21">
        <f>F260</f>
        <v>14588.9</v>
      </c>
    </row>
    <row r="260" spans="1:6" ht="31.5">
      <c r="A260" s="104" t="s">
        <v>49</v>
      </c>
      <c r="B260" s="106" t="s">
        <v>262</v>
      </c>
      <c r="C260" s="106" t="s">
        <v>69</v>
      </c>
      <c r="D260" s="105" t="s">
        <v>92</v>
      </c>
      <c r="E260" s="21">
        <f>E261</f>
        <v>14599.5</v>
      </c>
      <c r="F260" s="21">
        <f>F261</f>
        <v>14588.9</v>
      </c>
    </row>
    <row r="261" spans="1:6" ht="31.5">
      <c r="A261" s="104" t="s">
        <v>49</v>
      </c>
      <c r="B261" s="106" t="s">
        <v>262</v>
      </c>
      <c r="C261" s="104">
        <v>240</v>
      </c>
      <c r="D261" s="105" t="s">
        <v>245</v>
      </c>
      <c r="E261" s="21">
        <f>'№ 6 ведом'!F212</f>
        <v>14599.5</v>
      </c>
      <c r="F261" s="21">
        <f>'№ 6 ведом'!G212</f>
        <v>14588.9</v>
      </c>
    </row>
    <row r="262" spans="1:6" ht="31.5">
      <c r="A262" s="104" t="s">
        <v>49</v>
      </c>
      <c r="B262" s="106">
        <v>1320000000</v>
      </c>
      <c r="C262" s="104"/>
      <c r="D262" s="48" t="s">
        <v>198</v>
      </c>
      <c r="E262" s="21">
        <f>E270+E263</f>
        <v>21484.4</v>
      </c>
      <c r="F262" s="21">
        <f>F270+F263</f>
        <v>20412.200000000004</v>
      </c>
    </row>
    <row r="263" spans="1:6" ht="31.5">
      <c r="A263" s="104" t="s">
        <v>49</v>
      </c>
      <c r="B263" s="106">
        <v>1320100000</v>
      </c>
      <c r="C263" s="104"/>
      <c r="D263" s="105" t="s">
        <v>345</v>
      </c>
      <c r="E263" s="21">
        <f>E267+E264</f>
        <v>707.4</v>
      </c>
      <c r="F263" s="21">
        <f>F267+F264</f>
        <v>651.4</v>
      </c>
    </row>
    <row r="264" spans="1:6" ht="63">
      <c r="A264" s="125" t="s">
        <v>49</v>
      </c>
      <c r="B264" s="125">
        <v>1320119010</v>
      </c>
      <c r="C264" s="125"/>
      <c r="D264" s="42" t="s">
        <v>390</v>
      </c>
      <c r="E264" s="21">
        <f>E265</f>
        <v>353.7</v>
      </c>
      <c r="F264" s="21">
        <f>F265</f>
        <v>325.7</v>
      </c>
    </row>
    <row r="265" spans="1:6" ht="31.5">
      <c r="A265" s="125" t="s">
        <v>49</v>
      </c>
      <c r="B265" s="125">
        <v>1320119010</v>
      </c>
      <c r="C265" s="127" t="s">
        <v>69</v>
      </c>
      <c r="D265" s="126" t="s">
        <v>92</v>
      </c>
      <c r="E265" s="21">
        <f>E266</f>
        <v>353.7</v>
      </c>
      <c r="F265" s="21">
        <f>F266</f>
        <v>325.7</v>
      </c>
    </row>
    <row r="266" spans="1:6" ht="31.5">
      <c r="A266" s="125" t="s">
        <v>49</v>
      </c>
      <c r="B266" s="125">
        <v>1320119010</v>
      </c>
      <c r="C266" s="125">
        <v>240</v>
      </c>
      <c r="D266" s="126" t="s">
        <v>245</v>
      </c>
      <c r="E266" s="21">
        <f>'№ 6 ведом'!F217</f>
        <v>353.7</v>
      </c>
      <c r="F266" s="21">
        <f>'№ 6 ведом'!G217</f>
        <v>325.7</v>
      </c>
    </row>
    <row r="267" spans="1:6" ht="63">
      <c r="A267" s="104" t="s">
        <v>49</v>
      </c>
      <c r="B267" s="119" t="s">
        <v>381</v>
      </c>
      <c r="C267" s="119"/>
      <c r="D267" s="42" t="s">
        <v>383</v>
      </c>
      <c r="E267" s="21">
        <f>E268</f>
        <v>353.7</v>
      </c>
      <c r="F267" s="21">
        <f>F268</f>
        <v>325.7</v>
      </c>
    </row>
    <row r="268" spans="1:6" ht="31.5">
      <c r="A268" s="104" t="s">
        <v>49</v>
      </c>
      <c r="B268" s="119" t="s">
        <v>381</v>
      </c>
      <c r="C268" s="121" t="s">
        <v>69</v>
      </c>
      <c r="D268" s="120" t="s">
        <v>92</v>
      </c>
      <c r="E268" s="21">
        <f>E269</f>
        <v>353.7</v>
      </c>
      <c r="F268" s="21">
        <f>F269</f>
        <v>325.7</v>
      </c>
    </row>
    <row r="269" spans="1:6" ht="31.5">
      <c r="A269" s="104" t="s">
        <v>49</v>
      </c>
      <c r="B269" s="119" t="s">
        <v>381</v>
      </c>
      <c r="C269" s="119">
        <v>240</v>
      </c>
      <c r="D269" s="120" t="s">
        <v>245</v>
      </c>
      <c r="E269" s="21">
        <f>'№ 6 ведом'!F220</f>
        <v>353.7</v>
      </c>
      <c r="F269" s="21">
        <f>'№ 6 ведом'!G220</f>
        <v>325.7</v>
      </c>
    </row>
    <row r="270" spans="1:6" ht="12.75">
      <c r="A270" s="104" t="s">
        <v>49</v>
      </c>
      <c r="B270" s="106">
        <v>1320200000</v>
      </c>
      <c r="C270" s="104"/>
      <c r="D270" s="105" t="s">
        <v>127</v>
      </c>
      <c r="E270" s="17">
        <f>E271+E274+E277+E280+E286+E283</f>
        <v>20777</v>
      </c>
      <c r="F270" s="17">
        <f>F271+F274+F277+F280+F286+F283</f>
        <v>19760.800000000003</v>
      </c>
    </row>
    <row r="271" spans="1:6" ht="12.75">
      <c r="A271" s="104" t="s">
        <v>49</v>
      </c>
      <c r="B271" s="104">
        <v>1320220050</v>
      </c>
      <c r="C271" s="104"/>
      <c r="D271" s="105" t="s">
        <v>128</v>
      </c>
      <c r="E271" s="17">
        <f>E272</f>
        <v>15478.5</v>
      </c>
      <c r="F271" s="17">
        <f>F272</f>
        <v>14477.7</v>
      </c>
    </row>
    <row r="272" spans="1:6" ht="31.5">
      <c r="A272" s="104" t="s">
        <v>49</v>
      </c>
      <c r="B272" s="104">
        <v>1320220050</v>
      </c>
      <c r="C272" s="106" t="s">
        <v>69</v>
      </c>
      <c r="D272" s="105" t="s">
        <v>92</v>
      </c>
      <c r="E272" s="17">
        <f>E273</f>
        <v>15478.5</v>
      </c>
      <c r="F272" s="17">
        <f>F273</f>
        <v>14477.7</v>
      </c>
    </row>
    <row r="273" spans="1:6" ht="31.5">
      <c r="A273" s="104" t="s">
        <v>49</v>
      </c>
      <c r="B273" s="104">
        <v>1320220050</v>
      </c>
      <c r="C273" s="104">
        <v>240</v>
      </c>
      <c r="D273" s="105" t="s">
        <v>245</v>
      </c>
      <c r="E273" s="17">
        <f>'№ 6 ведом'!F224</f>
        <v>15478.5</v>
      </c>
      <c r="F273" s="17">
        <f>'№ 6 ведом'!G224</f>
        <v>14477.7</v>
      </c>
    </row>
    <row r="274" spans="1:6" ht="12.75">
      <c r="A274" s="104" t="s">
        <v>49</v>
      </c>
      <c r="B274" s="104">
        <v>1320220060</v>
      </c>
      <c r="C274" s="104"/>
      <c r="D274" s="105" t="s">
        <v>129</v>
      </c>
      <c r="E274" s="17">
        <f>E275</f>
        <v>2685.5</v>
      </c>
      <c r="F274" s="17">
        <f>F275</f>
        <v>2675.2</v>
      </c>
    </row>
    <row r="275" spans="1:6" ht="31.5">
      <c r="A275" s="104" t="s">
        <v>49</v>
      </c>
      <c r="B275" s="104">
        <v>1320220060</v>
      </c>
      <c r="C275" s="106" t="s">
        <v>69</v>
      </c>
      <c r="D275" s="105" t="s">
        <v>92</v>
      </c>
      <c r="E275" s="17">
        <f>E276</f>
        <v>2685.5</v>
      </c>
      <c r="F275" s="17">
        <f>F276</f>
        <v>2675.2</v>
      </c>
    </row>
    <row r="276" spans="1:6" ht="31.5">
      <c r="A276" s="104" t="s">
        <v>49</v>
      </c>
      <c r="B276" s="104">
        <v>1320220060</v>
      </c>
      <c r="C276" s="104">
        <v>240</v>
      </c>
      <c r="D276" s="105" t="s">
        <v>245</v>
      </c>
      <c r="E276" s="17">
        <f>'№ 6 ведом'!F227</f>
        <v>2685.5</v>
      </c>
      <c r="F276" s="17">
        <f>'№ 6 ведом'!G227</f>
        <v>2675.2</v>
      </c>
    </row>
    <row r="277" spans="1:6" ht="12.75">
      <c r="A277" s="104" t="s">
        <v>49</v>
      </c>
      <c r="B277" s="104">
        <v>1320220070</v>
      </c>
      <c r="C277" s="104"/>
      <c r="D277" s="105" t="s">
        <v>130</v>
      </c>
      <c r="E277" s="17">
        <f>E278</f>
        <v>2068.3</v>
      </c>
      <c r="F277" s="17">
        <f>F278</f>
        <v>2068.3</v>
      </c>
    </row>
    <row r="278" spans="1:6" ht="31.5">
      <c r="A278" s="104" t="s">
        <v>49</v>
      </c>
      <c r="B278" s="104">
        <v>1320220070</v>
      </c>
      <c r="C278" s="106" t="s">
        <v>69</v>
      </c>
      <c r="D278" s="105" t="s">
        <v>92</v>
      </c>
      <c r="E278" s="17">
        <f>E279</f>
        <v>2068.3</v>
      </c>
      <c r="F278" s="17">
        <f>F279</f>
        <v>2068.3</v>
      </c>
    </row>
    <row r="279" spans="1:6" ht="31.5">
      <c r="A279" s="104" t="s">
        <v>49</v>
      </c>
      <c r="B279" s="104">
        <v>1320220070</v>
      </c>
      <c r="C279" s="104">
        <v>240</v>
      </c>
      <c r="D279" s="105" t="s">
        <v>245</v>
      </c>
      <c r="E279" s="17">
        <f>'№ 6 ведом'!F230</f>
        <v>2068.3</v>
      </c>
      <c r="F279" s="17">
        <f>'№ 6 ведом'!G230</f>
        <v>2068.3</v>
      </c>
    </row>
    <row r="280" spans="1:6" ht="12.75">
      <c r="A280" s="104" t="s">
        <v>49</v>
      </c>
      <c r="B280" s="104">
        <v>1320220080</v>
      </c>
      <c r="C280" s="104"/>
      <c r="D280" s="105" t="s">
        <v>131</v>
      </c>
      <c r="E280" s="17">
        <f>E281</f>
        <v>145.9</v>
      </c>
      <c r="F280" s="17">
        <f>F281</f>
        <v>145.9</v>
      </c>
    </row>
    <row r="281" spans="1:6" ht="31.5">
      <c r="A281" s="104" t="s">
        <v>49</v>
      </c>
      <c r="B281" s="104">
        <v>1320220080</v>
      </c>
      <c r="C281" s="106" t="s">
        <v>69</v>
      </c>
      <c r="D281" s="105" t="s">
        <v>92</v>
      </c>
      <c r="E281" s="17">
        <f>E282</f>
        <v>145.9</v>
      </c>
      <c r="F281" s="17">
        <f>F282</f>
        <v>145.9</v>
      </c>
    </row>
    <row r="282" spans="1:6" ht="31.5">
      <c r="A282" s="104" t="s">
        <v>49</v>
      </c>
      <c r="B282" s="104">
        <v>1320220080</v>
      </c>
      <c r="C282" s="104">
        <v>240</v>
      </c>
      <c r="D282" s="105" t="s">
        <v>245</v>
      </c>
      <c r="E282" s="17">
        <f>'№ 6 ведом'!F233</f>
        <v>145.9</v>
      </c>
      <c r="F282" s="17">
        <f>'№ 6 ведом'!G233</f>
        <v>145.9</v>
      </c>
    </row>
    <row r="283" spans="1:6" ht="31.5">
      <c r="A283" s="127" t="s">
        <v>49</v>
      </c>
      <c r="B283" s="127">
        <v>1320220090</v>
      </c>
      <c r="C283" s="127"/>
      <c r="D283" s="126" t="s">
        <v>391</v>
      </c>
      <c r="E283" s="17">
        <f>E284</f>
        <v>47.6</v>
      </c>
      <c r="F283" s="17">
        <f>F284</f>
        <v>42.5</v>
      </c>
    </row>
    <row r="284" spans="1:6" ht="31.5">
      <c r="A284" s="127" t="s">
        <v>49</v>
      </c>
      <c r="B284" s="127">
        <v>1320220090</v>
      </c>
      <c r="C284" s="127" t="s">
        <v>69</v>
      </c>
      <c r="D284" s="126" t="s">
        <v>92</v>
      </c>
      <c r="E284" s="17">
        <f>E285</f>
        <v>47.6</v>
      </c>
      <c r="F284" s="17">
        <f>F285</f>
        <v>42.5</v>
      </c>
    </row>
    <row r="285" spans="1:6" ht="31.5">
      <c r="A285" s="127" t="s">
        <v>49</v>
      </c>
      <c r="B285" s="127">
        <v>1320220090</v>
      </c>
      <c r="C285" s="127">
        <v>240</v>
      </c>
      <c r="D285" s="126" t="s">
        <v>245</v>
      </c>
      <c r="E285" s="17">
        <f>'№ 6 ведом'!F236</f>
        <v>47.6</v>
      </c>
      <c r="F285" s="17">
        <f>'№ 6 ведом'!G236</f>
        <v>42.5</v>
      </c>
    </row>
    <row r="286" spans="1:6" ht="47.25">
      <c r="A286" s="104" t="s">
        <v>49</v>
      </c>
      <c r="B286" s="117" t="s">
        <v>379</v>
      </c>
      <c r="C286" s="117"/>
      <c r="D286" s="123" t="s">
        <v>382</v>
      </c>
      <c r="E286" s="17">
        <f>E287</f>
        <v>351.2</v>
      </c>
      <c r="F286" s="17">
        <f>F287</f>
        <v>351.2</v>
      </c>
    </row>
    <row r="287" spans="1:6" ht="31.5">
      <c r="A287" s="104" t="s">
        <v>49</v>
      </c>
      <c r="B287" s="117" t="s">
        <v>379</v>
      </c>
      <c r="C287" s="118" t="s">
        <v>69</v>
      </c>
      <c r="D287" s="105" t="s">
        <v>92</v>
      </c>
      <c r="E287" s="17">
        <f>E288</f>
        <v>351.2</v>
      </c>
      <c r="F287" s="17">
        <f>F288</f>
        <v>351.2</v>
      </c>
    </row>
    <row r="288" spans="1:6" ht="31.5">
      <c r="A288" s="104" t="s">
        <v>49</v>
      </c>
      <c r="B288" s="117" t="s">
        <v>379</v>
      </c>
      <c r="C288" s="117">
        <v>240</v>
      </c>
      <c r="D288" s="105" t="s">
        <v>245</v>
      </c>
      <c r="E288" s="17">
        <f>'№ 6 ведом'!F239</f>
        <v>351.2</v>
      </c>
      <c r="F288" s="17">
        <f>'№ 6 ведом'!G239</f>
        <v>351.2</v>
      </c>
    </row>
    <row r="289" spans="1:6" ht="31.5">
      <c r="A289" s="104" t="s">
        <v>49</v>
      </c>
      <c r="B289" s="106">
        <v>1330000000</v>
      </c>
      <c r="C289" s="104"/>
      <c r="D289" s="105" t="s">
        <v>122</v>
      </c>
      <c r="E289" s="17">
        <f>E290</f>
        <v>377.79999999999995</v>
      </c>
      <c r="F289" s="17">
        <f>F290</f>
        <v>305</v>
      </c>
    </row>
    <row r="290" spans="1:6" ht="63">
      <c r="A290" s="104" t="s">
        <v>49</v>
      </c>
      <c r="B290" s="106">
        <v>1330200000</v>
      </c>
      <c r="C290" s="104"/>
      <c r="D290" s="105" t="s">
        <v>199</v>
      </c>
      <c r="E290" s="17">
        <f>E291+E294</f>
        <v>377.79999999999995</v>
      </c>
      <c r="F290" s="17">
        <f>F291+F294</f>
        <v>305</v>
      </c>
    </row>
    <row r="291" spans="1:6" ht="12.75">
      <c r="A291" s="104" t="s">
        <v>49</v>
      </c>
      <c r="B291" s="106">
        <v>1330220090</v>
      </c>
      <c r="C291" s="104"/>
      <c r="D291" s="105" t="s">
        <v>132</v>
      </c>
      <c r="E291" s="17">
        <f>E292</f>
        <v>107.79999999999998</v>
      </c>
      <c r="F291" s="17">
        <f>F292</f>
        <v>35</v>
      </c>
    </row>
    <row r="292" spans="1:6" ht="31.5">
      <c r="A292" s="104" t="s">
        <v>49</v>
      </c>
      <c r="B292" s="106">
        <v>1330220090</v>
      </c>
      <c r="C292" s="106" t="s">
        <v>69</v>
      </c>
      <c r="D292" s="105" t="s">
        <v>92</v>
      </c>
      <c r="E292" s="17">
        <f>E293</f>
        <v>107.79999999999998</v>
      </c>
      <c r="F292" s="17">
        <f>F293</f>
        <v>35</v>
      </c>
    </row>
    <row r="293" spans="1:6" ht="31.5">
      <c r="A293" s="104" t="s">
        <v>49</v>
      </c>
      <c r="B293" s="106">
        <v>1330220090</v>
      </c>
      <c r="C293" s="74">
        <v>240</v>
      </c>
      <c r="D293" s="105" t="s">
        <v>245</v>
      </c>
      <c r="E293" s="17">
        <f>'№ 6 ведом'!F244</f>
        <v>107.79999999999998</v>
      </c>
      <c r="F293" s="17">
        <f>'№ 6 ведом'!G244</f>
        <v>35</v>
      </c>
    </row>
    <row r="294" spans="1:6" ht="12.75">
      <c r="A294" s="119" t="s">
        <v>49</v>
      </c>
      <c r="B294" s="121">
        <v>1330220100</v>
      </c>
      <c r="C294" s="74"/>
      <c r="D294" s="42" t="s">
        <v>380</v>
      </c>
      <c r="E294" s="17">
        <f>E295</f>
        <v>270</v>
      </c>
      <c r="F294" s="17">
        <f>F295</f>
        <v>270</v>
      </c>
    </row>
    <row r="295" spans="1:6" ht="31.5">
      <c r="A295" s="119" t="s">
        <v>49</v>
      </c>
      <c r="B295" s="121">
        <v>1330220100</v>
      </c>
      <c r="C295" s="122" t="s">
        <v>69</v>
      </c>
      <c r="D295" s="120" t="s">
        <v>92</v>
      </c>
      <c r="E295" s="17">
        <f>E296</f>
        <v>270</v>
      </c>
      <c r="F295" s="17">
        <f>F296</f>
        <v>270</v>
      </c>
    </row>
    <row r="296" spans="1:6" ht="31.5">
      <c r="A296" s="119" t="s">
        <v>49</v>
      </c>
      <c r="B296" s="121">
        <v>1330220100</v>
      </c>
      <c r="C296" s="74">
        <v>240</v>
      </c>
      <c r="D296" s="120" t="s">
        <v>245</v>
      </c>
      <c r="E296" s="17">
        <f>'№ 6 ведом'!F247</f>
        <v>270</v>
      </c>
      <c r="F296" s="17">
        <f>'№ 6 ведом'!G247</f>
        <v>270</v>
      </c>
    </row>
    <row r="297" spans="1:6" ht="12.75">
      <c r="A297" s="104" t="s">
        <v>49</v>
      </c>
      <c r="B297" s="106" t="s">
        <v>107</v>
      </c>
      <c r="C297" s="106" t="s">
        <v>66</v>
      </c>
      <c r="D297" s="105" t="s">
        <v>102</v>
      </c>
      <c r="E297" s="17">
        <f aca="true" t="shared" si="19" ref="E297:F300">E298</f>
        <v>10</v>
      </c>
      <c r="F297" s="17">
        <f t="shared" si="19"/>
        <v>10</v>
      </c>
    </row>
    <row r="298" spans="1:6" ht="31.5">
      <c r="A298" s="104" t="s">
        <v>49</v>
      </c>
      <c r="B298" s="104">
        <v>9930000000</v>
      </c>
      <c r="C298" s="104"/>
      <c r="D298" s="54" t="s">
        <v>165</v>
      </c>
      <c r="E298" s="17">
        <f t="shared" si="19"/>
        <v>10</v>
      </c>
      <c r="F298" s="17">
        <f t="shared" si="19"/>
        <v>10</v>
      </c>
    </row>
    <row r="299" spans="1:6" ht="31.5">
      <c r="A299" s="104" t="s">
        <v>49</v>
      </c>
      <c r="B299" s="104">
        <v>9930020490</v>
      </c>
      <c r="C299" s="104"/>
      <c r="D299" s="54" t="s">
        <v>367</v>
      </c>
      <c r="E299" s="17">
        <f t="shared" si="19"/>
        <v>10</v>
      </c>
      <c r="F299" s="17">
        <f t="shared" si="19"/>
        <v>10</v>
      </c>
    </row>
    <row r="300" spans="1:6" ht="12.75">
      <c r="A300" s="104" t="s">
        <v>49</v>
      </c>
      <c r="B300" s="104">
        <v>9930020490</v>
      </c>
      <c r="C300" s="11" t="s">
        <v>70</v>
      </c>
      <c r="D300" s="42" t="s">
        <v>71</v>
      </c>
      <c r="E300" s="17">
        <f t="shared" si="19"/>
        <v>10</v>
      </c>
      <c r="F300" s="17">
        <f t="shared" si="19"/>
        <v>10</v>
      </c>
    </row>
    <row r="301" spans="1:6" ht="12.75">
      <c r="A301" s="104" t="s">
        <v>49</v>
      </c>
      <c r="B301" s="104">
        <v>9930020490</v>
      </c>
      <c r="C301" s="1" t="s">
        <v>368</v>
      </c>
      <c r="D301" s="57" t="s">
        <v>369</v>
      </c>
      <c r="E301" s="17">
        <f>'№ 6 ведом'!F252</f>
        <v>10</v>
      </c>
      <c r="F301" s="17">
        <f>'№ 6 ведом'!G252</f>
        <v>10</v>
      </c>
    </row>
    <row r="302" spans="1:6" ht="12.75">
      <c r="A302" s="4" t="s">
        <v>37</v>
      </c>
      <c r="B302" s="4" t="s">
        <v>66</v>
      </c>
      <c r="C302" s="75" t="s">
        <v>66</v>
      </c>
      <c r="D302" s="51" t="s">
        <v>29</v>
      </c>
      <c r="E302" s="58">
        <f>E303+E337+E428+E461+E398+E421</f>
        <v>600484.6</v>
      </c>
      <c r="F302" s="58">
        <f>F303+F337+F428+F461+F398+F421</f>
        <v>597445.1000000001</v>
      </c>
    </row>
    <row r="303" spans="1:6" ht="12.75">
      <c r="A303" s="107" t="s">
        <v>50</v>
      </c>
      <c r="B303" s="107" t="s">
        <v>66</v>
      </c>
      <c r="C303" s="102" t="s">
        <v>66</v>
      </c>
      <c r="D303" s="48" t="s">
        <v>10</v>
      </c>
      <c r="E303" s="17">
        <f>E304+E323</f>
        <v>237606.5</v>
      </c>
      <c r="F303" s="17">
        <f>F304+F323</f>
        <v>237597.4</v>
      </c>
    </row>
    <row r="304" spans="1:6" ht="47.25">
      <c r="A304" s="104" t="s">
        <v>50</v>
      </c>
      <c r="B304" s="106">
        <v>1100000000</v>
      </c>
      <c r="C304" s="104"/>
      <c r="D304" s="105" t="s">
        <v>192</v>
      </c>
      <c r="E304" s="17">
        <f>E305</f>
        <v>232676.4</v>
      </c>
      <c r="F304" s="17">
        <f>F305</f>
        <v>232667.4</v>
      </c>
    </row>
    <row r="305" spans="1:6" ht="12.75">
      <c r="A305" s="104" t="s">
        <v>50</v>
      </c>
      <c r="B305" s="104">
        <v>1110000000</v>
      </c>
      <c r="C305" s="104"/>
      <c r="D305" s="48" t="s">
        <v>175</v>
      </c>
      <c r="E305" s="17">
        <f>E306+E313</f>
        <v>232676.4</v>
      </c>
      <c r="F305" s="17">
        <f>F306+F313</f>
        <v>232667.4</v>
      </c>
    </row>
    <row r="306" spans="1:6" ht="47.25">
      <c r="A306" s="104" t="s">
        <v>50</v>
      </c>
      <c r="B306" s="104">
        <v>1110100000</v>
      </c>
      <c r="C306" s="24"/>
      <c r="D306" s="48" t="s">
        <v>176</v>
      </c>
      <c r="E306" s="17">
        <f>E310+E307</f>
        <v>225267</v>
      </c>
      <c r="F306" s="17">
        <f>F310+F307</f>
        <v>225267</v>
      </c>
    </row>
    <row r="307" spans="1:6" ht="63">
      <c r="A307" s="2" t="s">
        <v>50</v>
      </c>
      <c r="B307" s="10" t="s">
        <v>178</v>
      </c>
      <c r="C307" s="11"/>
      <c r="D307" s="42" t="s">
        <v>100</v>
      </c>
      <c r="E307" s="17">
        <f>E308</f>
        <v>125685.1</v>
      </c>
      <c r="F307" s="17">
        <f>F308</f>
        <v>125685.1</v>
      </c>
    </row>
    <row r="308" spans="1:6" ht="31.5">
      <c r="A308" s="2" t="s">
        <v>50</v>
      </c>
      <c r="B308" s="10" t="s">
        <v>178</v>
      </c>
      <c r="C308" s="106" t="s">
        <v>94</v>
      </c>
      <c r="D308" s="105" t="s">
        <v>95</v>
      </c>
      <c r="E308" s="17">
        <f>E309</f>
        <v>125685.1</v>
      </c>
      <c r="F308" s="17">
        <f>F309</f>
        <v>125685.1</v>
      </c>
    </row>
    <row r="309" spans="1:6" ht="12.75">
      <c r="A309" s="2" t="s">
        <v>50</v>
      </c>
      <c r="B309" s="10" t="s">
        <v>178</v>
      </c>
      <c r="C309" s="104">
        <v>610</v>
      </c>
      <c r="D309" s="105" t="s">
        <v>101</v>
      </c>
      <c r="E309" s="17">
        <f>'№ 6 ведом'!F566</f>
        <v>125685.1</v>
      </c>
      <c r="F309" s="17">
        <f>'№ 6 ведом'!G566</f>
        <v>125685.1</v>
      </c>
    </row>
    <row r="310" spans="1:6" ht="31.5">
      <c r="A310" s="2" t="s">
        <v>50</v>
      </c>
      <c r="B310" s="10" t="s">
        <v>177</v>
      </c>
      <c r="C310" s="10"/>
      <c r="D310" s="42" t="s">
        <v>121</v>
      </c>
      <c r="E310" s="17">
        <f>E311</f>
        <v>99581.9</v>
      </c>
      <c r="F310" s="17">
        <f>F311</f>
        <v>99581.9</v>
      </c>
    </row>
    <row r="311" spans="1:6" ht="31.5">
      <c r="A311" s="2" t="s">
        <v>50</v>
      </c>
      <c r="B311" s="10" t="s">
        <v>177</v>
      </c>
      <c r="C311" s="106" t="s">
        <v>94</v>
      </c>
      <c r="D311" s="105" t="s">
        <v>95</v>
      </c>
      <c r="E311" s="17">
        <f>E312</f>
        <v>99581.9</v>
      </c>
      <c r="F311" s="17">
        <f>F312</f>
        <v>99581.9</v>
      </c>
    </row>
    <row r="312" spans="1:6" ht="12.75">
      <c r="A312" s="2" t="s">
        <v>50</v>
      </c>
      <c r="B312" s="10" t="s">
        <v>177</v>
      </c>
      <c r="C312" s="104">
        <v>610</v>
      </c>
      <c r="D312" s="105" t="s">
        <v>101</v>
      </c>
      <c r="E312" s="17">
        <f>'№ 6 ведом'!F569</f>
        <v>99581.9</v>
      </c>
      <c r="F312" s="17">
        <f>'№ 6 ведом'!G569</f>
        <v>99581.9</v>
      </c>
    </row>
    <row r="313" spans="1:6" ht="78.75">
      <c r="A313" s="2" t="s">
        <v>50</v>
      </c>
      <c r="B313" s="104">
        <v>1110700000</v>
      </c>
      <c r="C313" s="104"/>
      <c r="D313" s="54" t="s">
        <v>298</v>
      </c>
      <c r="E313" s="17">
        <f>E320+E314+E317</f>
        <v>7409.399999999999</v>
      </c>
      <c r="F313" s="17">
        <f>F320+F314+F317</f>
        <v>7400.4</v>
      </c>
    </row>
    <row r="314" spans="1:6" ht="47.25">
      <c r="A314" s="112" t="s">
        <v>50</v>
      </c>
      <c r="B314" s="93" t="s">
        <v>328</v>
      </c>
      <c r="C314" s="94"/>
      <c r="D314" s="95" t="s">
        <v>329</v>
      </c>
      <c r="E314" s="17">
        <f>E315</f>
        <v>5896.099999999999</v>
      </c>
      <c r="F314" s="17">
        <f>F315</f>
        <v>5888.9</v>
      </c>
    </row>
    <row r="315" spans="1:6" ht="31.5">
      <c r="A315" s="112" t="s">
        <v>50</v>
      </c>
      <c r="B315" s="93" t="s">
        <v>328</v>
      </c>
      <c r="C315" s="96">
        <v>600</v>
      </c>
      <c r="D315" s="95" t="s">
        <v>95</v>
      </c>
      <c r="E315" s="17">
        <f>E316</f>
        <v>5896.099999999999</v>
      </c>
      <c r="F315" s="17">
        <f>F316</f>
        <v>5888.9</v>
      </c>
    </row>
    <row r="316" spans="1:6" ht="12.75">
      <c r="A316" s="112" t="s">
        <v>50</v>
      </c>
      <c r="B316" s="93" t="s">
        <v>328</v>
      </c>
      <c r="C316" s="94">
        <v>610</v>
      </c>
      <c r="D316" s="95" t="s">
        <v>101</v>
      </c>
      <c r="E316" s="17">
        <f>'№ 6 ведом'!F573</f>
        <v>5896.099999999999</v>
      </c>
      <c r="F316" s="17">
        <f>'№ 6 ведом'!G573</f>
        <v>5888.9</v>
      </c>
    </row>
    <row r="317" spans="1:6" ht="31.5">
      <c r="A317" s="112" t="s">
        <v>50</v>
      </c>
      <c r="B317" s="10" t="s">
        <v>376</v>
      </c>
      <c r="C317" s="125"/>
      <c r="D317" s="54" t="s">
        <v>366</v>
      </c>
      <c r="E317" s="17">
        <f>E318</f>
        <v>39.2</v>
      </c>
      <c r="F317" s="17">
        <f>F318</f>
        <v>39.2</v>
      </c>
    </row>
    <row r="318" spans="1:6" ht="31.5">
      <c r="A318" s="112" t="s">
        <v>50</v>
      </c>
      <c r="B318" s="10" t="s">
        <v>376</v>
      </c>
      <c r="C318" s="127" t="s">
        <v>94</v>
      </c>
      <c r="D318" s="126" t="s">
        <v>95</v>
      </c>
      <c r="E318" s="17">
        <f>E319</f>
        <v>39.2</v>
      </c>
      <c r="F318" s="17">
        <f>F319</f>
        <v>39.2</v>
      </c>
    </row>
    <row r="319" spans="1:6" ht="12.75">
      <c r="A319" s="112" t="s">
        <v>50</v>
      </c>
      <c r="B319" s="10" t="s">
        <v>376</v>
      </c>
      <c r="C319" s="125">
        <v>610</v>
      </c>
      <c r="D319" s="126" t="s">
        <v>101</v>
      </c>
      <c r="E319" s="17">
        <f>'№ 6 ведом'!F576</f>
        <v>39.2</v>
      </c>
      <c r="F319" s="17">
        <f>'№ 6 ведом'!G576</f>
        <v>39.2</v>
      </c>
    </row>
    <row r="320" spans="1:6" ht="47.25">
      <c r="A320" s="2" t="s">
        <v>50</v>
      </c>
      <c r="B320" s="93" t="s">
        <v>306</v>
      </c>
      <c r="C320" s="94"/>
      <c r="D320" s="95" t="s">
        <v>307</v>
      </c>
      <c r="E320" s="17">
        <f>E321</f>
        <v>1474.1</v>
      </c>
      <c r="F320" s="17">
        <f>F321</f>
        <v>1472.3</v>
      </c>
    </row>
    <row r="321" spans="1:6" ht="31.5">
      <c r="A321" s="2" t="s">
        <v>50</v>
      </c>
      <c r="B321" s="93" t="s">
        <v>306</v>
      </c>
      <c r="C321" s="96">
        <v>600</v>
      </c>
      <c r="D321" s="95" t="s">
        <v>95</v>
      </c>
      <c r="E321" s="17">
        <f>E322</f>
        <v>1474.1</v>
      </c>
      <c r="F321" s="17">
        <f>F322</f>
        <v>1472.3</v>
      </c>
    </row>
    <row r="322" spans="1:6" ht="12.75">
      <c r="A322" s="2" t="s">
        <v>50</v>
      </c>
      <c r="B322" s="93" t="s">
        <v>306</v>
      </c>
      <c r="C322" s="94">
        <v>610</v>
      </c>
      <c r="D322" s="95" t="s">
        <v>101</v>
      </c>
      <c r="E322" s="113">
        <f>'№ 6 ведом'!F579</f>
        <v>1474.1</v>
      </c>
      <c r="F322" s="113">
        <f>'№ 6 ведом'!G579</f>
        <v>1472.3</v>
      </c>
    </row>
    <row r="323" spans="1:6" ht="31.5">
      <c r="A323" s="112" t="s">
        <v>50</v>
      </c>
      <c r="B323" s="106">
        <v>1500000000</v>
      </c>
      <c r="C323" s="104"/>
      <c r="D323" s="105" t="s">
        <v>188</v>
      </c>
      <c r="E323" s="113">
        <f>E328+E324</f>
        <v>4930.099999999999</v>
      </c>
      <c r="F323" s="113">
        <f>F328+F324</f>
        <v>4930</v>
      </c>
    </row>
    <row r="324" spans="1:6" ht="63">
      <c r="A324" s="112" t="s">
        <v>50</v>
      </c>
      <c r="B324" s="104">
        <v>1520100000</v>
      </c>
      <c r="C324" s="104"/>
      <c r="D324" s="54" t="s">
        <v>372</v>
      </c>
      <c r="E324" s="113">
        <f aca="true" t="shared" si="20" ref="E324:F326">E325</f>
        <v>42</v>
      </c>
      <c r="F324" s="113">
        <f t="shared" si="20"/>
        <v>42</v>
      </c>
    </row>
    <row r="325" spans="1:6" ht="31.5">
      <c r="A325" s="112" t="s">
        <v>50</v>
      </c>
      <c r="B325" s="10" t="s">
        <v>373</v>
      </c>
      <c r="C325" s="104"/>
      <c r="D325" s="54" t="s">
        <v>374</v>
      </c>
      <c r="E325" s="113">
        <f t="shared" si="20"/>
        <v>42</v>
      </c>
      <c r="F325" s="113">
        <f t="shared" si="20"/>
        <v>42</v>
      </c>
    </row>
    <row r="326" spans="1:6" ht="31.5">
      <c r="A326" s="112" t="s">
        <v>50</v>
      </c>
      <c r="B326" s="10" t="s">
        <v>373</v>
      </c>
      <c r="C326" s="106" t="s">
        <v>94</v>
      </c>
      <c r="D326" s="54" t="s">
        <v>95</v>
      </c>
      <c r="E326" s="113">
        <f t="shared" si="20"/>
        <v>42</v>
      </c>
      <c r="F326" s="113">
        <f t="shared" si="20"/>
        <v>42</v>
      </c>
    </row>
    <row r="327" spans="1:6" ht="12.75">
      <c r="A327" s="112" t="s">
        <v>50</v>
      </c>
      <c r="B327" s="10" t="s">
        <v>373</v>
      </c>
      <c r="C327" s="104">
        <v>610</v>
      </c>
      <c r="D327" s="54" t="s">
        <v>101</v>
      </c>
      <c r="E327" s="113">
        <f>'№ 6 ведом'!F585</f>
        <v>42</v>
      </c>
      <c r="F327" s="113">
        <f>'№ 6 ведом'!G585</f>
        <v>42</v>
      </c>
    </row>
    <row r="328" spans="1:6" ht="31.5">
      <c r="A328" s="112" t="s">
        <v>50</v>
      </c>
      <c r="B328" s="106">
        <v>1520000000</v>
      </c>
      <c r="C328" s="104"/>
      <c r="D328" s="105" t="s">
        <v>293</v>
      </c>
      <c r="E328" s="113">
        <f>E333+E329</f>
        <v>4888.099999999999</v>
      </c>
      <c r="F328" s="113">
        <f>F333+F329</f>
        <v>4888</v>
      </c>
    </row>
    <row r="329" spans="1:6" ht="47.25">
      <c r="A329" s="112" t="s">
        <v>50</v>
      </c>
      <c r="B329" s="106">
        <v>1520200000</v>
      </c>
      <c r="C329" s="104"/>
      <c r="D329" s="105" t="s">
        <v>375</v>
      </c>
      <c r="E329" s="113">
        <f aca="true" t="shared" si="21" ref="E329:F331">E330</f>
        <v>187.7</v>
      </c>
      <c r="F329" s="113">
        <f t="shared" si="21"/>
        <v>187.6</v>
      </c>
    </row>
    <row r="330" spans="1:6" ht="12.75">
      <c r="A330" s="2" t="s">
        <v>50</v>
      </c>
      <c r="B330" s="139">
        <v>1520220190</v>
      </c>
      <c r="C330" s="139"/>
      <c r="D330" s="138" t="s">
        <v>394</v>
      </c>
      <c r="E330" s="113">
        <f t="shared" si="21"/>
        <v>187.7</v>
      </c>
      <c r="F330" s="113">
        <f t="shared" si="21"/>
        <v>187.6</v>
      </c>
    </row>
    <row r="331" spans="1:6" ht="31.5">
      <c r="A331" s="2" t="s">
        <v>50</v>
      </c>
      <c r="B331" s="139">
        <v>1520220190</v>
      </c>
      <c r="C331" s="139" t="s">
        <v>94</v>
      </c>
      <c r="D331" s="138" t="s">
        <v>95</v>
      </c>
      <c r="E331" s="113">
        <f t="shared" si="21"/>
        <v>187.7</v>
      </c>
      <c r="F331" s="113">
        <f t="shared" si="21"/>
        <v>187.6</v>
      </c>
    </row>
    <row r="332" spans="1:6" ht="12.75">
      <c r="A332" s="2" t="s">
        <v>50</v>
      </c>
      <c r="B332" s="139">
        <v>1520220190</v>
      </c>
      <c r="C332" s="139">
        <v>610</v>
      </c>
      <c r="D332" s="138" t="s">
        <v>101</v>
      </c>
      <c r="E332" s="113">
        <f>'№ 6 ведом'!F589</f>
        <v>187.7</v>
      </c>
      <c r="F332" s="113">
        <f>'№ 6 ведом'!G589</f>
        <v>187.6</v>
      </c>
    </row>
    <row r="333" spans="1:6" ht="47.25">
      <c r="A333" s="112" t="s">
        <v>50</v>
      </c>
      <c r="B333" s="106">
        <v>1520300000</v>
      </c>
      <c r="C333" s="104"/>
      <c r="D333" s="105" t="s">
        <v>346</v>
      </c>
      <c r="E333" s="113">
        <f aca="true" t="shared" si="22" ref="E333:F335">E334</f>
        <v>4700.4</v>
      </c>
      <c r="F333" s="113">
        <f t="shared" si="22"/>
        <v>4700.4</v>
      </c>
    </row>
    <row r="334" spans="1:6" ht="12.75">
      <c r="A334" s="112" t="s">
        <v>50</v>
      </c>
      <c r="B334" s="106">
        <v>1520320200</v>
      </c>
      <c r="C334" s="104"/>
      <c r="D334" s="54" t="s">
        <v>347</v>
      </c>
      <c r="E334" s="113">
        <f t="shared" si="22"/>
        <v>4700.4</v>
      </c>
      <c r="F334" s="113">
        <f t="shared" si="22"/>
        <v>4700.4</v>
      </c>
    </row>
    <row r="335" spans="1:6" ht="31.5">
      <c r="A335" s="112" t="s">
        <v>50</v>
      </c>
      <c r="B335" s="106">
        <v>1520320200</v>
      </c>
      <c r="C335" s="106" t="s">
        <v>94</v>
      </c>
      <c r="D335" s="54" t="s">
        <v>95</v>
      </c>
      <c r="E335" s="113">
        <f t="shared" si="22"/>
        <v>4700.4</v>
      </c>
      <c r="F335" s="113">
        <f t="shared" si="22"/>
        <v>4700.4</v>
      </c>
    </row>
    <row r="336" spans="1:6" ht="12.75">
      <c r="A336" s="112" t="s">
        <v>50</v>
      </c>
      <c r="B336" s="106">
        <v>1520320200</v>
      </c>
      <c r="C336" s="104">
        <v>610</v>
      </c>
      <c r="D336" s="54" t="s">
        <v>101</v>
      </c>
      <c r="E336" s="113">
        <f>'№ 6 ведом'!F593</f>
        <v>4700.4</v>
      </c>
      <c r="F336" s="113">
        <f>'№ 6 ведом'!G593</f>
        <v>4700.4</v>
      </c>
    </row>
    <row r="337" spans="1:6" ht="12.75">
      <c r="A337" s="104" t="s">
        <v>51</v>
      </c>
      <c r="B337" s="104" t="s">
        <v>66</v>
      </c>
      <c r="C337" s="104" t="s">
        <v>66</v>
      </c>
      <c r="D337" s="48" t="s">
        <v>11</v>
      </c>
      <c r="E337" s="17">
        <f>E338+E383+E393</f>
        <v>314463.39999999997</v>
      </c>
      <c r="F337" s="17">
        <f>F338+F383+F393</f>
        <v>311617.3</v>
      </c>
    </row>
    <row r="338" spans="1:6" ht="47.25">
      <c r="A338" s="104" t="s">
        <v>51</v>
      </c>
      <c r="B338" s="106">
        <v>1100000000</v>
      </c>
      <c r="C338" s="104"/>
      <c r="D338" s="105" t="s">
        <v>192</v>
      </c>
      <c r="E338" s="17">
        <f>E339+E375+E370</f>
        <v>308267.8</v>
      </c>
      <c r="F338" s="17">
        <f>F339+F375+F370</f>
        <v>305421.7</v>
      </c>
    </row>
    <row r="339" spans="1:6" ht="12.75">
      <c r="A339" s="104" t="s">
        <v>51</v>
      </c>
      <c r="B339" s="104">
        <v>1110000000</v>
      </c>
      <c r="C339" s="104"/>
      <c r="D339" s="48" t="s">
        <v>175</v>
      </c>
      <c r="E339" s="17">
        <f>E340+E347+E358+E362+E366+E351</f>
        <v>307578.3</v>
      </c>
      <c r="F339" s="17">
        <f>F340+F347+F358+F362+F366+F351</f>
        <v>304732.2</v>
      </c>
    </row>
    <row r="340" spans="1:6" ht="47.25">
      <c r="A340" s="104" t="s">
        <v>51</v>
      </c>
      <c r="B340" s="104">
        <v>1110100000</v>
      </c>
      <c r="C340" s="24"/>
      <c r="D340" s="48" t="s">
        <v>176</v>
      </c>
      <c r="E340" s="17">
        <f>E344+E341</f>
        <v>254089</v>
      </c>
      <c r="F340" s="17">
        <f>F344+F341</f>
        <v>254089</v>
      </c>
    </row>
    <row r="341" spans="1:6" ht="94.5">
      <c r="A341" s="104" t="s">
        <v>51</v>
      </c>
      <c r="B341" s="104">
        <v>1110110750</v>
      </c>
      <c r="C341" s="104"/>
      <c r="D341" s="48" t="s">
        <v>179</v>
      </c>
      <c r="E341" s="17">
        <f>E342</f>
        <v>213664.69999999998</v>
      </c>
      <c r="F341" s="17">
        <f>F342</f>
        <v>213664.7</v>
      </c>
    </row>
    <row r="342" spans="1:6" ht="31.5">
      <c r="A342" s="104" t="s">
        <v>51</v>
      </c>
      <c r="B342" s="104">
        <v>1110110750</v>
      </c>
      <c r="C342" s="106" t="s">
        <v>94</v>
      </c>
      <c r="D342" s="105" t="s">
        <v>95</v>
      </c>
      <c r="E342" s="17">
        <f>E343</f>
        <v>213664.69999999998</v>
      </c>
      <c r="F342" s="17">
        <f>F343</f>
        <v>213664.7</v>
      </c>
    </row>
    <row r="343" spans="1:6" ht="12.75">
      <c r="A343" s="104" t="s">
        <v>51</v>
      </c>
      <c r="B343" s="104">
        <v>1110110750</v>
      </c>
      <c r="C343" s="104">
        <v>610</v>
      </c>
      <c r="D343" s="105" t="s">
        <v>101</v>
      </c>
      <c r="E343" s="17">
        <f>'№ 6 ведом'!F600</f>
        <v>213664.69999999998</v>
      </c>
      <c r="F343" s="17">
        <f>'№ 6 ведом'!G600</f>
        <v>213664.7</v>
      </c>
    </row>
    <row r="344" spans="1:6" ht="31.5">
      <c r="A344" s="104" t="s">
        <v>51</v>
      </c>
      <c r="B344" s="10" t="s">
        <v>177</v>
      </c>
      <c r="C344" s="10"/>
      <c r="D344" s="42" t="s">
        <v>121</v>
      </c>
      <c r="E344" s="17">
        <f>E345</f>
        <v>40424.3</v>
      </c>
      <c r="F344" s="17">
        <f>F345</f>
        <v>40424.3</v>
      </c>
    </row>
    <row r="345" spans="1:6" ht="31.5">
      <c r="A345" s="104" t="s">
        <v>51</v>
      </c>
      <c r="B345" s="10" t="s">
        <v>177</v>
      </c>
      <c r="C345" s="106" t="s">
        <v>94</v>
      </c>
      <c r="D345" s="105" t="s">
        <v>95</v>
      </c>
      <c r="E345" s="17">
        <f>E346</f>
        <v>40424.3</v>
      </c>
      <c r="F345" s="17">
        <f>F346</f>
        <v>40424.3</v>
      </c>
    </row>
    <row r="346" spans="1:6" ht="12.75">
      <c r="A346" s="104" t="s">
        <v>51</v>
      </c>
      <c r="B346" s="10" t="s">
        <v>177</v>
      </c>
      <c r="C346" s="104">
        <v>610</v>
      </c>
      <c r="D346" s="105" t="s">
        <v>101</v>
      </c>
      <c r="E346" s="17">
        <f>'№ 6 ведом'!F603</f>
        <v>40424.3</v>
      </c>
      <c r="F346" s="17">
        <f>'№ 6 ведом'!G603</f>
        <v>40424.3</v>
      </c>
    </row>
    <row r="347" spans="1:6" ht="31.5">
      <c r="A347" s="104" t="s">
        <v>51</v>
      </c>
      <c r="B347" s="104">
        <v>1110300000</v>
      </c>
      <c r="C347" s="104"/>
      <c r="D347" s="48" t="s">
        <v>180</v>
      </c>
      <c r="E347" s="17">
        <f aca="true" t="shared" si="23" ref="E347:F349">E348</f>
        <v>22884.300000000003</v>
      </c>
      <c r="F347" s="17">
        <f t="shared" si="23"/>
        <v>20294.2</v>
      </c>
    </row>
    <row r="348" spans="1:6" ht="47.25">
      <c r="A348" s="104" t="s">
        <v>51</v>
      </c>
      <c r="B348" s="104" t="s">
        <v>330</v>
      </c>
      <c r="C348" s="104"/>
      <c r="D348" s="105" t="s">
        <v>332</v>
      </c>
      <c r="E348" s="17">
        <f t="shared" si="23"/>
        <v>22884.300000000003</v>
      </c>
      <c r="F348" s="17">
        <f t="shared" si="23"/>
        <v>20294.2</v>
      </c>
    </row>
    <row r="349" spans="1:6" ht="31.5">
      <c r="A349" s="104" t="s">
        <v>51</v>
      </c>
      <c r="B349" s="104" t="s">
        <v>330</v>
      </c>
      <c r="C349" s="106" t="s">
        <v>94</v>
      </c>
      <c r="D349" s="105" t="s">
        <v>95</v>
      </c>
      <c r="E349" s="17">
        <f t="shared" si="23"/>
        <v>22884.300000000003</v>
      </c>
      <c r="F349" s="17">
        <f t="shared" si="23"/>
        <v>20294.2</v>
      </c>
    </row>
    <row r="350" spans="1:6" ht="12.75">
      <c r="A350" s="104" t="s">
        <v>51</v>
      </c>
      <c r="B350" s="104" t="s">
        <v>330</v>
      </c>
      <c r="C350" s="104">
        <v>610</v>
      </c>
      <c r="D350" s="105" t="s">
        <v>101</v>
      </c>
      <c r="E350" s="17">
        <f>'№ 6 ведом'!F607</f>
        <v>22884.300000000003</v>
      </c>
      <c r="F350" s="17">
        <f>'№ 6 ведом'!G607</f>
        <v>20294.2</v>
      </c>
    </row>
    <row r="351" spans="1:6" ht="78.75">
      <c r="A351" s="104" t="s">
        <v>51</v>
      </c>
      <c r="B351" s="104">
        <v>1110700000</v>
      </c>
      <c r="C351" s="104"/>
      <c r="D351" s="105" t="s">
        <v>298</v>
      </c>
      <c r="E351" s="17">
        <f>E352+E355</f>
        <v>13771.800000000001</v>
      </c>
      <c r="F351" s="17">
        <f>F352+F355</f>
        <v>13687.4</v>
      </c>
    </row>
    <row r="352" spans="1:6" ht="31.5">
      <c r="A352" s="104" t="s">
        <v>51</v>
      </c>
      <c r="B352" s="10" t="s">
        <v>376</v>
      </c>
      <c r="C352" s="104"/>
      <c r="D352" s="54" t="s">
        <v>366</v>
      </c>
      <c r="E352" s="17">
        <f>E353</f>
        <v>11017.900000000001</v>
      </c>
      <c r="F352" s="17">
        <f>F353</f>
        <v>10933.5</v>
      </c>
    </row>
    <row r="353" spans="1:6" ht="31.5">
      <c r="A353" s="104" t="s">
        <v>51</v>
      </c>
      <c r="B353" s="10" t="s">
        <v>376</v>
      </c>
      <c r="C353" s="106" t="s">
        <v>94</v>
      </c>
      <c r="D353" s="105" t="s">
        <v>95</v>
      </c>
      <c r="E353" s="17">
        <f>E354</f>
        <v>11017.900000000001</v>
      </c>
      <c r="F353" s="17">
        <f>F354</f>
        <v>10933.5</v>
      </c>
    </row>
    <row r="354" spans="1:6" ht="12.75">
      <c r="A354" s="104" t="s">
        <v>51</v>
      </c>
      <c r="B354" s="10" t="s">
        <v>376</v>
      </c>
      <c r="C354" s="104">
        <v>610</v>
      </c>
      <c r="D354" s="105" t="s">
        <v>101</v>
      </c>
      <c r="E354" s="17">
        <f>'№ 6 ведом'!F611</f>
        <v>11017.900000000001</v>
      </c>
      <c r="F354" s="17">
        <f>'№ 6 ведом'!G611</f>
        <v>10933.5</v>
      </c>
    </row>
    <row r="355" spans="1:6" ht="47.25">
      <c r="A355" s="148" t="s">
        <v>51</v>
      </c>
      <c r="B355" s="10" t="s">
        <v>397</v>
      </c>
      <c r="C355" s="148"/>
      <c r="D355" s="149" t="s">
        <v>398</v>
      </c>
      <c r="E355" s="17">
        <f>E356</f>
        <v>2753.9</v>
      </c>
      <c r="F355" s="17">
        <f>F356</f>
        <v>2753.9</v>
      </c>
    </row>
    <row r="356" spans="1:6" ht="31.5">
      <c r="A356" s="148" t="s">
        <v>51</v>
      </c>
      <c r="B356" s="10" t="s">
        <v>397</v>
      </c>
      <c r="C356" s="150" t="s">
        <v>94</v>
      </c>
      <c r="D356" s="149" t="s">
        <v>95</v>
      </c>
      <c r="E356" s="17">
        <f>E357</f>
        <v>2753.9</v>
      </c>
      <c r="F356" s="17">
        <f>F357</f>
        <v>2753.9</v>
      </c>
    </row>
    <row r="357" spans="1:6" ht="12.75">
      <c r="A357" s="148" t="s">
        <v>51</v>
      </c>
      <c r="B357" s="10" t="s">
        <v>397</v>
      </c>
      <c r="C357" s="148">
        <v>610</v>
      </c>
      <c r="D357" s="149" t="s">
        <v>101</v>
      </c>
      <c r="E357" s="17">
        <f>'№ 6 ведом'!F614</f>
        <v>2753.9</v>
      </c>
      <c r="F357" s="17">
        <f>'№ 6 ведом'!G614</f>
        <v>2753.9</v>
      </c>
    </row>
    <row r="358" spans="1:6" ht="47.25">
      <c r="A358" s="104" t="s">
        <v>51</v>
      </c>
      <c r="B358" s="104">
        <v>1110800000</v>
      </c>
      <c r="C358" s="104"/>
      <c r="D358" s="105" t="s">
        <v>333</v>
      </c>
      <c r="E358" s="17">
        <f aca="true" t="shared" si="24" ref="E358:F360">E359</f>
        <v>14530.3</v>
      </c>
      <c r="F358" s="17">
        <f t="shared" si="24"/>
        <v>14530.3</v>
      </c>
    </row>
    <row r="359" spans="1:6" ht="47.25">
      <c r="A359" s="104" t="s">
        <v>51</v>
      </c>
      <c r="B359" s="104">
        <v>1110853031</v>
      </c>
      <c r="C359" s="104"/>
      <c r="D359" s="59" t="s">
        <v>334</v>
      </c>
      <c r="E359" s="17">
        <f t="shared" si="24"/>
        <v>14530.3</v>
      </c>
      <c r="F359" s="17">
        <f t="shared" si="24"/>
        <v>14530.3</v>
      </c>
    </row>
    <row r="360" spans="1:6" ht="31.5">
      <c r="A360" s="104" t="s">
        <v>51</v>
      </c>
      <c r="B360" s="104">
        <v>1110853031</v>
      </c>
      <c r="C360" s="106" t="s">
        <v>94</v>
      </c>
      <c r="D360" s="105" t="s">
        <v>95</v>
      </c>
      <c r="E360" s="17">
        <f t="shared" si="24"/>
        <v>14530.3</v>
      </c>
      <c r="F360" s="17">
        <f t="shared" si="24"/>
        <v>14530.3</v>
      </c>
    </row>
    <row r="361" spans="1:6" ht="12.75">
      <c r="A361" s="104" t="s">
        <v>51</v>
      </c>
      <c r="B361" s="104">
        <v>1110853031</v>
      </c>
      <c r="C361" s="104">
        <v>610</v>
      </c>
      <c r="D361" s="105" t="s">
        <v>101</v>
      </c>
      <c r="E361" s="17">
        <f>'№ 6 ведом'!F618</f>
        <v>14530.3</v>
      </c>
      <c r="F361" s="17">
        <f>'№ 6 ведом'!G618</f>
        <v>14530.3</v>
      </c>
    </row>
    <row r="362" spans="1:6" ht="47.25">
      <c r="A362" s="104" t="s">
        <v>51</v>
      </c>
      <c r="B362" s="104">
        <v>1110900000</v>
      </c>
      <c r="C362" s="104"/>
      <c r="D362" s="105" t="s">
        <v>349</v>
      </c>
      <c r="E362" s="17">
        <f aca="true" t="shared" si="25" ref="E362:F364">E363</f>
        <v>1890.8999999999999</v>
      </c>
      <c r="F362" s="17">
        <f t="shared" si="25"/>
        <v>1793.1</v>
      </c>
    </row>
    <row r="363" spans="1:6" ht="47.25">
      <c r="A363" s="104" t="s">
        <v>51</v>
      </c>
      <c r="B363" s="104">
        <v>1110920020</v>
      </c>
      <c r="C363" s="104"/>
      <c r="D363" s="105" t="s">
        <v>362</v>
      </c>
      <c r="E363" s="17">
        <f t="shared" si="25"/>
        <v>1890.8999999999999</v>
      </c>
      <c r="F363" s="17">
        <f t="shared" si="25"/>
        <v>1793.1</v>
      </c>
    </row>
    <row r="364" spans="1:6" ht="31.5">
      <c r="A364" s="104" t="s">
        <v>51</v>
      </c>
      <c r="B364" s="104">
        <v>1110920020</v>
      </c>
      <c r="C364" s="106" t="s">
        <v>94</v>
      </c>
      <c r="D364" s="105" t="s">
        <v>95</v>
      </c>
      <c r="E364" s="17">
        <f t="shared" si="25"/>
        <v>1890.8999999999999</v>
      </c>
      <c r="F364" s="17">
        <f t="shared" si="25"/>
        <v>1793.1</v>
      </c>
    </row>
    <row r="365" spans="1:6" ht="12.75">
      <c r="A365" s="104" t="s">
        <v>51</v>
      </c>
      <c r="B365" s="104">
        <v>1110920020</v>
      </c>
      <c r="C365" s="104">
        <v>610</v>
      </c>
      <c r="D365" s="105" t="s">
        <v>101</v>
      </c>
      <c r="E365" s="17">
        <f>'№ 6 ведом'!F622</f>
        <v>1890.8999999999999</v>
      </c>
      <c r="F365" s="17">
        <f>'№ 6 ведом'!G622</f>
        <v>1793.1</v>
      </c>
    </row>
    <row r="366" spans="1:6" ht="31.5">
      <c r="A366" s="104" t="s">
        <v>51</v>
      </c>
      <c r="B366" s="104">
        <v>1111000000</v>
      </c>
      <c r="C366" s="104"/>
      <c r="D366" s="105" t="s">
        <v>364</v>
      </c>
      <c r="E366" s="17">
        <f aca="true" t="shared" si="26" ref="E366:F368">E367</f>
        <v>412</v>
      </c>
      <c r="F366" s="17">
        <f t="shared" si="26"/>
        <v>338.2</v>
      </c>
    </row>
    <row r="367" spans="1:6" ht="12.75">
      <c r="A367" s="104" t="s">
        <v>51</v>
      </c>
      <c r="B367" s="104">
        <v>1111020030</v>
      </c>
      <c r="C367" s="104"/>
      <c r="D367" s="105" t="s">
        <v>265</v>
      </c>
      <c r="E367" s="17">
        <f t="shared" si="26"/>
        <v>412</v>
      </c>
      <c r="F367" s="17">
        <f t="shared" si="26"/>
        <v>338.2</v>
      </c>
    </row>
    <row r="368" spans="1:6" ht="31.5">
      <c r="A368" s="104" t="s">
        <v>51</v>
      </c>
      <c r="B368" s="104">
        <v>1111020030</v>
      </c>
      <c r="C368" s="106" t="s">
        <v>94</v>
      </c>
      <c r="D368" s="105" t="s">
        <v>95</v>
      </c>
      <c r="E368" s="17">
        <f t="shared" si="26"/>
        <v>412</v>
      </c>
      <c r="F368" s="17">
        <f t="shared" si="26"/>
        <v>338.2</v>
      </c>
    </row>
    <row r="369" spans="1:6" ht="12.75">
      <c r="A369" s="104" t="s">
        <v>51</v>
      </c>
      <c r="B369" s="104">
        <v>1111020030</v>
      </c>
      <c r="C369" s="104">
        <v>610</v>
      </c>
      <c r="D369" s="105" t="s">
        <v>101</v>
      </c>
      <c r="E369" s="17">
        <f>'№ 6 ведом'!F626</f>
        <v>412</v>
      </c>
      <c r="F369" s="17">
        <f>'№ 6 ведом'!G626</f>
        <v>338.2</v>
      </c>
    </row>
    <row r="370" spans="1:6" ht="12.75">
      <c r="A370" s="137" t="s">
        <v>51</v>
      </c>
      <c r="B370" s="137">
        <v>1120000000</v>
      </c>
      <c r="C370" s="137"/>
      <c r="D370" s="138" t="s">
        <v>119</v>
      </c>
      <c r="E370" s="17">
        <f aca="true" t="shared" si="27" ref="E370:F373">E371</f>
        <v>559.8</v>
      </c>
      <c r="F370" s="17">
        <f t="shared" si="27"/>
        <v>559.8</v>
      </c>
    </row>
    <row r="371" spans="1:6" ht="47.25">
      <c r="A371" s="137" t="s">
        <v>51</v>
      </c>
      <c r="B371" s="137">
        <v>1120100000</v>
      </c>
      <c r="C371" s="137"/>
      <c r="D371" s="138" t="s">
        <v>120</v>
      </c>
      <c r="E371" s="17">
        <f t="shared" si="27"/>
        <v>559.8</v>
      </c>
      <c r="F371" s="17">
        <f t="shared" si="27"/>
        <v>559.8</v>
      </c>
    </row>
    <row r="372" spans="1:6" ht="31.5">
      <c r="A372" s="137" t="s">
        <v>51</v>
      </c>
      <c r="B372" s="137">
        <v>1120120010</v>
      </c>
      <c r="C372" s="137"/>
      <c r="D372" s="138" t="s">
        <v>121</v>
      </c>
      <c r="E372" s="17">
        <f t="shared" si="27"/>
        <v>559.8</v>
      </c>
      <c r="F372" s="17">
        <f t="shared" si="27"/>
        <v>559.8</v>
      </c>
    </row>
    <row r="373" spans="1:6" ht="31.5">
      <c r="A373" s="137" t="s">
        <v>51</v>
      </c>
      <c r="B373" s="137">
        <v>1120120010</v>
      </c>
      <c r="C373" s="139" t="s">
        <v>94</v>
      </c>
      <c r="D373" s="138" t="s">
        <v>95</v>
      </c>
      <c r="E373" s="17">
        <f t="shared" si="27"/>
        <v>559.8</v>
      </c>
      <c r="F373" s="17">
        <f t="shared" si="27"/>
        <v>559.8</v>
      </c>
    </row>
    <row r="374" spans="1:6" ht="12.75">
      <c r="A374" s="137" t="s">
        <v>51</v>
      </c>
      <c r="B374" s="137">
        <v>1120120010</v>
      </c>
      <c r="C374" s="137">
        <v>610</v>
      </c>
      <c r="D374" s="138" t="s">
        <v>101</v>
      </c>
      <c r="E374" s="17">
        <f>'№ 6 ведом'!F631</f>
        <v>559.8</v>
      </c>
      <c r="F374" s="17">
        <f>'№ 6 ведом'!G631</f>
        <v>559.8</v>
      </c>
    </row>
    <row r="375" spans="1:6" ht="31.5">
      <c r="A375" s="104" t="s">
        <v>51</v>
      </c>
      <c r="B375" s="104">
        <v>1130000000</v>
      </c>
      <c r="C375" s="104"/>
      <c r="D375" s="105" t="s">
        <v>112</v>
      </c>
      <c r="E375" s="17">
        <f>E376</f>
        <v>129.7</v>
      </c>
      <c r="F375" s="17">
        <f>F376</f>
        <v>129.7</v>
      </c>
    </row>
    <row r="376" spans="1:6" ht="31.5">
      <c r="A376" s="104" t="s">
        <v>51</v>
      </c>
      <c r="B376" s="104">
        <v>1130100000</v>
      </c>
      <c r="C376" s="104"/>
      <c r="D376" s="105" t="s">
        <v>229</v>
      </c>
      <c r="E376" s="17">
        <f>E380+E377</f>
        <v>129.7</v>
      </c>
      <c r="F376" s="17">
        <f>F380+F377</f>
        <v>129.7</v>
      </c>
    </row>
    <row r="377" spans="1:6" ht="31.5">
      <c r="A377" s="104" t="s">
        <v>51</v>
      </c>
      <c r="B377" s="106">
        <v>1130111080</v>
      </c>
      <c r="C377" s="104"/>
      <c r="D377" s="105" t="s">
        <v>284</v>
      </c>
      <c r="E377" s="17">
        <f>E378</f>
        <v>116.7</v>
      </c>
      <c r="F377" s="17">
        <f>F378</f>
        <v>116.7</v>
      </c>
    </row>
    <row r="378" spans="1:6" ht="31.5">
      <c r="A378" s="104" t="s">
        <v>51</v>
      </c>
      <c r="B378" s="106">
        <v>1130111080</v>
      </c>
      <c r="C378" s="106" t="s">
        <v>94</v>
      </c>
      <c r="D378" s="105" t="s">
        <v>95</v>
      </c>
      <c r="E378" s="17">
        <f>E379</f>
        <v>116.7</v>
      </c>
      <c r="F378" s="17">
        <f>F379</f>
        <v>116.7</v>
      </c>
    </row>
    <row r="379" spans="1:6" ht="12.75">
      <c r="A379" s="104" t="s">
        <v>51</v>
      </c>
      <c r="B379" s="106">
        <v>1130111080</v>
      </c>
      <c r="C379" s="104">
        <v>610</v>
      </c>
      <c r="D379" s="105" t="s">
        <v>101</v>
      </c>
      <c r="E379" s="17">
        <f>'№ 6 ведом'!F636</f>
        <v>116.7</v>
      </c>
      <c r="F379" s="17">
        <f>'№ 6 ведом'!G636</f>
        <v>116.7</v>
      </c>
    </row>
    <row r="380" spans="1:6" ht="31.5">
      <c r="A380" s="104" t="s">
        <v>51</v>
      </c>
      <c r="B380" s="106" t="s">
        <v>250</v>
      </c>
      <c r="C380" s="104"/>
      <c r="D380" s="105" t="s">
        <v>251</v>
      </c>
      <c r="E380" s="17">
        <f>E381</f>
        <v>13</v>
      </c>
      <c r="F380" s="17">
        <f>F381</f>
        <v>13</v>
      </c>
    </row>
    <row r="381" spans="1:6" ht="31.5">
      <c r="A381" s="104" t="s">
        <v>51</v>
      </c>
      <c r="B381" s="106" t="s">
        <v>250</v>
      </c>
      <c r="C381" s="106" t="s">
        <v>94</v>
      </c>
      <c r="D381" s="105" t="s">
        <v>95</v>
      </c>
      <c r="E381" s="17">
        <f>E382</f>
        <v>13</v>
      </c>
      <c r="F381" s="17">
        <f>F382</f>
        <v>13</v>
      </c>
    </row>
    <row r="382" spans="1:6" ht="12.75">
      <c r="A382" s="104" t="s">
        <v>51</v>
      </c>
      <c r="B382" s="106" t="s">
        <v>250</v>
      </c>
      <c r="C382" s="104">
        <v>610</v>
      </c>
      <c r="D382" s="105" t="s">
        <v>101</v>
      </c>
      <c r="E382" s="17">
        <f>'№ 6 ведом'!F639</f>
        <v>13</v>
      </c>
      <c r="F382" s="17">
        <f>'№ 6 ведом'!G639</f>
        <v>13</v>
      </c>
    </row>
    <row r="383" spans="1:6" ht="31.5">
      <c r="A383" s="104" t="s">
        <v>51</v>
      </c>
      <c r="B383" s="106">
        <v>1500000000</v>
      </c>
      <c r="C383" s="104"/>
      <c r="D383" s="54" t="s">
        <v>188</v>
      </c>
      <c r="E383" s="17">
        <f>E384</f>
        <v>5467.5</v>
      </c>
      <c r="F383" s="17">
        <f>F384</f>
        <v>5467.5</v>
      </c>
    </row>
    <row r="384" spans="1:6" ht="31.5">
      <c r="A384" s="104" t="s">
        <v>51</v>
      </c>
      <c r="B384" s="106">
        <v>1520000000</v>
      </c>
      <c r="C384" s="104"/>
      <c r="D384" s="54" t="s">
        <v>269</v>
      </c>
      <c r="E384" s="17">
        <f>E389+E385</f>
        <v>5467.5</v>
      </c>
      <c r="F384" s="17">
        <f>F389+F385</f>
        <v>5467.5</v>
      </c>
    </row>
    <row r="385" spans="1:6" ht="63">
      <c r="A385" s="137" t="s">
        <v>51</v>
      </c>
      <c r="B385" s="137">
        <v>1520100000</v>
      </c>
      <c r="C385" s="137"/>
      <c r="D385" s="54" t="s">
        <v>372</v>
      </c>
      <c r="E385" s="17">
        <f aca="true" t="shared" si="28" ref="E385:F387">E386</f>
        <v>1298.1</v>
      </c>
      <c r="F385" s="17">
        <f t="shared" si="28"/>
        <v>1298.1</v>
      </c>
    </row>
    <row r="386" spans="1:6" ht="31.5">
      <c r="A386" s="137" t="s">
        <v>51</v>
      </c>
      <c r="B386" s="10" t="s">
        <v>373</v>
      </c>
      <c r="C386" s="137"/>
      <c r="D386" s="54" t="s">
        <v>374</v>
      </c>
      <c r="E386" s="17">
        <f t="shared" si="28"/>
        <v>1298.1</v>
      </c>
      <c r="F386" s="17">
        <f t="shared" si="28"/>
        <v>1298.1</v>
      </c>
    </row>
    <row r="387" spans="1:6" ht="31.5">
      <c r="A387" s="137" t="s">
        <v>51</v>
      </c>
      <c r="B387" s="10" t="s">
        <v>373</v>
      </c>
      <c r="C387" s="139" t="s">
        <v>94</v>
      </c>
      <c r="D387" s="54" t="s">
        <v>95</v>
      </c>
      <c r="E387" s="17">
        <f t="shared" si="28"/>
        <v>1298.1</v>
      </c>
      <c r="F387" s="17">
        <f t="shared" si="28"/>
        <v>1298.1</v>
      </c>
    </row>
    <row r="388" spans="1:6" ht="12.75">
      <c r="A388" s="137" t="s">
        <v>51</v>
      </c>
      <c r="B388" s="10" t="s">
        <v>373</v>
      </c>
      <c r="C388" s="137">
        <v>610</v>
      </c>
      <c r="D388" s="54" t="s">
        <v>101</v>
      </c>
      <c r="E388" s="17">
        <f>'№ 6 ведом'!F645</f>
        <v>1298.1</v>
      </c>
      <c r="F388" s="17">
        <f>'№ 6 ведом'!G645</f>
        <v>1298.1</v>
      </c>
    </row>
    <row r="389" spans="1:6" ht="47.25">
      <c r="A389" s="104" t="s">
        <v>51</v>
      </c>
      <c r="B389" s="106">
        <v>1520300000</v>
      </c>
      <c r="C389" s="104"/>
      <c r="D389" s="105" t="s">
        <v>346</v>
      </c>
      <c r="E389" s="17">
        <f aca="true" t="shared" si="29" ref="E389:F391">E390</f>
        <v>4169.4</v>
      </c>
      <c r="F389" s="17">
        <f t="shared" si="29"/>
        <v>4169.4</v>
      </c>
    </row>
    <row r="390" spans="1:6" ht="12.75">
      <c r="A390" s="104" t="s">
        <v>51</v>
      </c>
      <c r="B390" s="106">
        <v>1520320200</v>
      </c>
      <c r="C390" s="104"/>
      <c r="D390" s="54" t="s">
        <v>347</v>
      </c>
      <c r="E390" s="17">
        <f t="shared" si="29"/>
        <v>4169.4</v>
      </c>
      <c r="F390" s="17">
        <f t="shared" si="29"/>
        <v>4169.4</v>
      </c>
    </row>
    <row r="391" spans="1:6" ht="31.5">
      <c r="A391" s="104" t="s">
        <v>51</v>
      </c>
      <c r="B391" s="106">
        <v>1520320200</v>
      </c>
      <c r="C391" s="106" t="s">
        <v>94</v>
      </c>
      <c r="D391" s="54" t="s">
        <v>95</v>
      </c>
      <c r="E391" s="17">
        <f t="shared" si="29"/>
        <v>4169.4</v>
      </c>
      <c r="F391" s="17">
        <f t="shared" si="29"/>
        <v>4169.4</v>
      </c>
    </row>
    <row r="392" spans="1:6" ht="12.75">
      <c r="A392" s="104" t="s">
        <v>51</v>
      </c>
      <c r="B392" s="106">
        <v>1520320200</v>
      </c>
      <c r="C392" s="104">
        <v>610</v>
      </c>
      <c r="D392" s="54" t="s">
        <v>101</v>
      </c>
      <c r="E392" s="17">
        <f>'№ 6 ведом'!F649</f>
        <v>4169.4</v>
      </c>
      <c r="F392" s="17">
        <f>'№ 6 ведом'!G649</f>
        <v>4169.4</v>
      </c>
    </row>
    <row r="393" spans="1:6" ht="12.75">
      <c r="A393" s="115" t="s">
        <v>51</v>
      </c>
      <c r="B393" s="116">
        <v>9900000000</v>
      </c>
      <c r="C393" s="116"/>
      <c r="D393" s="54" t="s">
        <v>102</v>
      </c>
      <c r="E393" s="17">
        <f aca="true" t="shared" si="30" ref="E393:F396">E394</f>
        <v>728.1</v>
      </c>
      <c r="F393" s="17">
        <f t="shared" si="30"/>
        <v>728.1</v>
      </c>
    </row>
    <row r="394" spans="1:6" ht="47.25">
      <c r="A394" s="115" t="s">
        <v>51</v>
      </c>
      <c r="B394" s="116">
        <v>9920000000</v>
      </c>
      <c r="C394" s="116"/>
      <c r="D394" s="54" t="s">
        <v>377</v>
      </c>
      <c r="E394" s="17">
        <f t="shared" si="30"/>
        <v>728.1</v>
      </c>
      <c r="F394" s="17">
        <f t="shared" si="30"/>
        <v>728.1</v>
      </c>
    </row>
    <row r="395" spans="1:6" ht="47.25">
      <c r="A395" s="115" t="s">
        <v>51</v>
      </c>
      <c r="B395" s="116">
        <v>9920010920</v>
      </c>
      <c r="C395" s="116"/>
      <c r="D395" s="54" t="s">
        <v>378</v>
      </c>
      <c r="E395" s="17">
        <f t="shared" si="30"/>
        <v>728.1</v>
      </c>
      <c r="F395" s="17">
        <f t="shared" si="30"/>
        <v>728.1</v>
      </c>
    </row>
    <row r="396" spans="1:6" ht="31.5">
      <c r="A396" s="115" t="s">
        <v>51</v>
      </c>
      <c r="B396" s="116">
        <v>9920010920</v>
      </c>
      <c r="C396" s="116" t="s">
        <v>94</v>
      </c>
      <c r="D396" s="54" t="s">
        <v>95</v>
      </c>
      <c r="E396" s="17">
        <f t="shared" si="30"/>
        <v>728.1</v>
      </c>
      <c r="F396" s="17">
        <f t="shared" si="30"/>
        <v>728.1</v>
      </c>
    </row>
    <row r="397" spans="1:6" ht="12.75">
      <c r="A397" s="115" t="s">
        <v>51</v>
      </c>
      <c r="B397" s="116">
        <v>9920010920</v>
      </c>
      <c r="C397" s="116">
        <v>610</v>
      </c>
      <c r="D397" s="54" t="s">
        <v>101</v>
      </c>
      <c r="E397" s="17">
        <f>'№ 6 ведом'!F654</f>
        <v>728.1</v>
      </c>
      <c r="F397" s="17">
        <f>'№ 6 ведом'!G654</f>
        <v>728.1</v>
      </c>
    </row>
    <row r="398" spans="1:6" ht="12.75">
      <c r="A398" s="104" t="s">
        <v>88</v>
      </c>
      <c r="B398" s="104" t="s">
        <v>66</v>
      </c>
      <c r="C398" s="104" t="s">
        <v>66</v>
      </c>
      <c r="D398" s="48" t="s">
        <v>89</v>
      </c>
      <c r="E398" s="17">
        <f>E399+E411</f>
        <v>37893.299999999996</v>
      </c>
      <c r="F398" s="17">
        <f>F399+F411</f>
        <v>37841.399999999994</v>
      </c>
    </row>
    <row r="399" spans="1:6" ht="47.25">
      <c r="A399" s="104" t="s">
        <v>88</v>
      </c>
      <c r="B399" s="106">
        <v>1100000000</v>
      </c>
      <c r="C399" s="104"/>
      <c r="D399" s="105" t="s">
        <v>192</v>
      </c>
      <c r="E399" s="17">
        <f>E400</f>
        <v>37216.299999999996</v>
      </c>
      <c r="F399" s="17">
        <f>F400</f>
        <v>37164.399999999994</v>
      </c>
    </row>
    <row r="400" spans="1:6" ht="12.75">
      <c r="A400" s="104" t="s">
        <v>88</v>
      </c>
      <c r="B400" s="104">
        <v>1120000000</v>
      </c>
      <c r="C400" s="104"/>
      <c r="D400" s="105" t="s">
        <v>119</v>
      </c>
      <c r="E400" s="17">
        <f>E401</f>
        <v>37216.299999999996</v>
      </c>
      <c r="F400" s="17">
        <f>F401</f>
        <v>37164.399999999994</v>
      </c>
    </row>
    <row r="401" spans="1:6" ht="47.25">
      <c r="A401" s="104" t="s">
        <v>88</v>
      </c>
      <c r="B401" s="104">
        <v>1120100000</v>
      </c>
      <c r="C401" s="104"/>
      <c r="D401" s="105" t="s">
        <v>120</v>
      </c>
      <c r="E401" s="17">
        <f>E405+E402+E408</f>
        <v>37216.299999999996</v>
      </c>
      <c r="F401" s="17">
        <f>F405+F402+F408</f>
        <v>37164.399999999994</v>
      </c>
    </row>
    <row r="402" spans="1:6" ht="47.25">
      <c r="A402" s="104" t="s">
        <v>88</v>
      </c>
      <c r="B402" s="104">
        <v>1120110690</v>
      </c>
      <c r="C402" s="104"/>
      <c r="D402" s="54" t="s">
        <v>276</v>
      </c>
      <c r="E402" s="17">
        <f>E403</f>
        <v>9861.699999999999</v>
      </c>
      <c r="F402" s="17">
        <f>F403</f>
        <v>9809.8</v>
      </c>
    </row>
    <row r="403" spans="1:6" ht="31.5">
      <c r="A403" s="104" t="s">
        <v>88</v>
      </c>
      <c r="B403" s="104">
        <v>1120110690</v>
      </c>
      <c r="C403" s="106" t="s">
        <v>94</v>
      </c>
      <c r="D403" s="54" t="s">
        <v>95</v>
      </c>
      <c r="E403" s="17">
        <f>E404</f>
        <v>9861.699999999999</v>
      </c>
      <c r="F403" s="17">
        <f>F404</f>
        <v>9809.8</v>
      </c>
    </row>
    <row r="404" spans="1:6" ht="12.75">
      <c r="A404" s="104" t="s">
        <v>88</v>
      </c>
      <c r="B404" s="104">
        <v>1120110690</v>
      </c>
      <c r="C404" s="104">
        <v>610</v>
      </c>
      <c r="D404" s="54" t="s">
        <v>101</v>
      </c>
      <c r="E404" s="17">
        <f>'№ 6 ведом'!F260+'№ 6 ведом'!F661</f>
        <v>9861.699999999999</v>
      </c>
      <c r="F404" s="17">
        <f>'№ 6 ведом'!G260+'№ 6 ведом'!G661</f>
        <v>9809.8</v>
      </c>
    </row>
    <row r="405" spans="1:6" ht="31.5">
      <c r="A405" s="104" t="s">
        <v>88</v>
      </c>
      <c r="B405" s="104">
        <v>1120120010</v>
      </c>
      <c r="C405" s="104"/>
      <c r="D405" s="105" t="s">
        <v>121</v>
      </c>
      <c r="E405" s="17">
        <f aca="true" t="shared" si="31" ref="E405:F406">E406</f>
        <v>27254.9</v>
      </c>
      <c r="F405" s="17">
        <f t="shared" si="31"/>
        <v>27254.9</v>
      </c>
    </row>
    <row r="406" spans="1:6" ht="31.5">
      <c r="A406" s="104" t="s">
        <v>88</v>
      </c>
      <c r="B406" s="104">
        <v>1120120010</v>
      </c>
      <c r="C406" s="106" t="s">
        <v>94</v>
      </c>
      <c r="D406" s="105" t="s">
        <v>95</v>
      </c>
      <c r="E406" s="17">
        <f t="shared" si="31"/>
        <v>27254.9</v>
      </c>
      <c r="F406" s="17">
        <f t="shared" si="31"/>
        <v>27254.9</v>
      </c>
    </row>
    <row r="407" spans="1:6" ht="12.75">
      <c r="A407" s="104" t="s">
        <v>88</v>
      </c>
      <c r="B407" s="104">
        <v>1120120010</v>
      </c>
      <c r="C407" s="104">
        <v>610</v>
      </c>
      <c r="D407" s="105" t="s">
        <v>101</v>
      </c>
      <c r="E407" s="17">
        <f>'№ 6 ведом'!F664+'№ 6 ведом'!F263</f>
        <v>27254.9</v>
      </c>
      <c r="F407" s="17">
        <f>'№ 6 ведом'!G664+'№ 6 ведом'!G263</f>
        <v>27254.9</v>
      </c>
    </row>
    <row r="408" spans="1:6" ht="47.25">
      <c r="A408" s="104" t="s">
        <v>88</v>
      </c>
      <c r="B408" s="104" t="s">
        <v>288</v>
      </c>
      <c r="C408" s="104"/>
      <c r="D408" s="54" t="s">
        <v>289</v>
      </c>
      <c r="E408" s="17">
        <f>E409</f>
        <v>99.7</v>
      </c>
      <c r="F408" s="17">
        <f>F409</f>
        <v>99.7</v>
      </c>
    </row>
    <row r="409" spans="1:6" ht="31.5">
      <c r="A409" s="104" t="s">
        <v>88</v>
      </c>
      <c r="B409" s="104" t="s">
        <v>288</v>
      </c>
      <c r="C409" s="106" t="s">
        <v>94</v>
      </c>
      <c r="D409" s="54" t="s">
        <v>95</v>
      </c>
      <c r="E409" s="17">
        <f>E410</f>
        <v>99.7</v>
      </c>
      <c r="F409" s="17">
        <f>F410</f>
        <v>99.7</v>
      </c>
    </row>
    <row r="410" spans="1:6" ht="12.75">
      <c r="A410" s="104" t="s">
        <v>88</v>
      </c>
      <c r="B410" s="104" t="s">
        <v>288</v>
      </c>
      <c r="C410" s="104">
        <v>610</v>
      </c>
      <c r="D410" s="54" t="s">
        <v>101</v>
      </c>
      <c r="E410" s="17">
        <f>'№ 6 ведом'!F667+'№ 6 ведом'!F266</f>
        <v>99.7</v>
      </c>
      <c r="F410" s="17">
        <f>'№ 6 ведом'!G667+'№ 6 ведом'!G266</f>
        <v>99.7</v>
      </c>
    </row>
    <row r="411" spans="1:6" ht="31.5">
      <c r="A411" s="104" t="s">
        <v>88</v>
      </c>
      <c r="B411" s="106">
        <v>1500000000</v>
      </c>
      <c r="C411" s="104"/>
      <c r="D411" s="105" t="s">
        <v>188</v>
      </c>
      <c r="E411" s="64">
        <f>E412</f>
        <v>677</v>
      </c>
      <c r="F411" s="64">
        <f>F412</f>
        <v>677</v>
      </c>
    </row>
    <row r="412" spans="1:6" ht="31.5">
      <c r="A412" s="104" t="s">
        <v>88</v>
      </c>
      <c r="B412" s="106">
        <v>1520000000</v>
      </c>
      <c r="C412" s="104"/>
      <c r="D412" s="105" t="s">
        <v>293</v>
      </c>
      <c r="E412" s="64">
        <f>E417+E413</f>
        <v>677</v>
      </c>
      <c r="F412" s="64">
        <f>F417+F413</f>
        <v>677</v>
      </c>
    </row>
    <row r="413" spans="1:6" ht="63">
      <c r="A413" s="125" t="s">
        <v>88</v>
      </c>
      <c r="B413" s="125">
        <v>1520100000</v>
      </c>
      <c r="C413" s="125"/>
      <c r="D413" s="54" t="s">
        <v>372</v>
      </c>
      <c r="E413" s="64">
        <f aca="true" t="shared" si="32" ref="E413:F415">E414</f>
        <v>235.8</v>
      </c>
      <c r="F413" s="64">
        <f t="shared" si="32"/>
        <v>235.8</v>
      </c>
    </row>
    <row r="414" spans="1:6" ht="31.5">
      <c r="A414" s="125" t="s">
        <v>88</v>
      </c>
      <c r="B414" s="10" t="s">
        <v>373</v>
      </c>
      <c r="C414" s="125"/>
      <c r="D414" s="54" t="s">
        <v>374</v>
      </c>
      <c r="E414" s="64">
        <f t="shared" si="32"/>
        <v>235.8</v>
      </c>
      <c r="F414" s="64">
        <f t="shared" si="32"/>
        <v>235.8</v>
      </c>
    </row>
    <row r="415" spans="1:6" ht="31.5">
      <c r="A415" s="125" t="s">
        <v>88</v>
      </c>
      <c r="B415" s="10" t="s">
        <v>373</v>
      </c>
      <c r="C415" s="127" t="s">
        <v>94</v>
      </c>
      <c r="D415" s="54" t="s">
        <v>95</v>
      </c>
      <c r="E415" s="64">
        <f t="shared" si="32"/>
        <v>235.8</v>
      </c>
      <c r="F415" s="64">
        <f t="shared" si="32"/>
        <v>235.8</v>
      </c>
    </row>
    <row r="416" spans="1:6" ht="12.75">
      <c r="A416" s="125" t="s">
        <v>88</v>
      </c>
      <c r="B416" s="10" t="s">
        <v>373</v>
      </c>
      <c r="C416" s="125">
        <v>610</v>
      </c>
      <c r="D416" s="54" t="s">
        <v>101</v>
      </c>
      <c r="E416" s="64">
        <f>'№ 6 ведом'!F272</f>
        <v>235.8</v>
      </c>
      <c r="F416" s="64">
        <f>'№ 6 ведом'!G272</f>
        <v>235.8</v>
      </c>
    </row>
    <row r="417" spans="1:6" ht="47.25">
      <c r="A417" s="104" t="s">
        <v>88</v>
      </c>
      <c r="B417" s="106">
        <v>1520300000</v>
      </c>
      <c r="C417" s="104"/>
      <c r="D417" s="105" t="s">
        <v>346</v>
      </c>
      <c r="E417" s="64">
        <f aca="true" t="shared" si="33" ref="E417:F419">E418</f>
        <v>441.2</v>
      </c>
      <c r="F417" s="64">
        <f t="shared" si="33"/>
        <v>441.2</v>
      </c>
    </row>
    <row r="418" spans="1:6" ht="12.75">
      <c r="A418" s="104" t="s">
        <v>88</v>
      </c>
      <c r="B418" s="106">
        <v>1520320200</v>
      </c>
      <c r="C418" s="104"/>
      <c r="D418" s="54" t="s">
        <v>347</v>
      </c>
      <c r="E418" s="64">
        <f t="shared" si="33"/>
        <v>441.2</v>
      </c>
      <c r="F418" s="64">
        <f t="shared" si="33"/>
        <v>441.2</v>
      </c>
    </row>
    <row r="419" spans="1:6" ht="31.5">
      <c r="A419" s="104" t="s">
        <v>88</v>
      </c>
      <c r="B419" s="106">
        <v>1520320200</v>
      </c>
      <c r="C419" s="106" t="s">
        <v>94</v>
      </c>
      <c r="D419" s="54" t="s">
        <v>95</v>
      </c>
      <c r="E419" s="64">
        <f t="shared" si="33"/>
        <v>441.2</v>
      </c>
      <c r="F419" s="64">
        <f t="shared" si="33"/>
        <v>441.2</v>
      </c>
    </row>
    <row r="420" spans="1:6" ht="12.75">
      <c r="A420" s="104" t="s">
        <v>88</v>
      </c>
      <c r="B420" s="106">
        <v>1520320200</v>
      </c>
      <c r="C420" s="104">
        <v>610</v>
      </c>
      <c r="D420" s="54" t="s">
        <v>101</v>
      </c>
      <c r="E420" s="64">
        <f>'№ 6 ведом'!F276</f>
        <v>441.2</v>
      </c>
      <c r="F420" s="64">
        <f>'№ 6 ведом'!G276</f>
        <v>441.2</v>
      </c>
    </row>
    <row r="421" spans="1:6" ht="31.5">
      <c r="A421" s="22" t="s">
        <v>215</v>
      </c>
      <c r="B421" s="60"/>
      <c r="C421" s="60"/>
      <c r="D421" s="62" t="s">
        <v>247</v>
      </c>
      <c r="E421" s="64">
        <f aca="true" t="shared" si="34" ref="E421:F426">E422</f>
        <v>81.4</v>
      </c>
      <c r="F421" s="64">
        <f t="shared" si="34"/>
        <v>71.8</v>
      </c>
    </row>
    <row r="422" spans="1:6" ht="47.25">
      <c r="A422" s="22" t="s">
        <v>215</v>
      </c>
      <c r="B422" s="106">
        <v>1600000000</v>
      </c>
      <c r="C422" s="106"/>
      <c r="D422" s="105" t="s">
        <v>111</v>
      </c>
      <c r="E422" s="17">
        <f t="shared" si="34"/>
        <v>81.4</v>
      </c>
      <c r="F422" s="17">
        <f t="shared" si="34"/>
        <v>71.8</v>
      </c>
    </row>
    <row r="423" spans="1:6" ht="47.25">
      <c r="A423" s="22" t="s">
        <v>215</v>
      </c>
      <c r="B423" s="106">
        <v>1640000000</v>
      </c>
      <c r="C423" s="1"/>
      <c r="D423" s="49" t="s">
        <v>217</v>
      </c>
      <c r="E423" s="17">
        <f t="shared" si="34"/>
        <v>81.4</v>
      </c>
      <c r="F423" s="17">
        <f t="shared" si="34"/>
        <v>71.8</v>
      </c>
    </row>
    <row r="424" spans="1:6" ht="31.5">
      <c r="A424" s="22" t="s">
        <v>215</v>
      </c>
      <c r="B424" s="106">
        <v>1640100000</v>
      </c>
      <c r="C424" s="104"/>
      <c r="D424" s="105" t="s">
        <v>219</v>
      </c>
      <c r="E424" s="17">
        <f t="shared" si="34"/>
        <v>81.4</v>
      </c>
      <c r="F424" s="17">
        <f t="shared" si="34"/>
        <v>71.8</v>
      </c>
    </row>
    <row r="425" spans="1:6" ht="12.75">
      <c r="A425" s="22" t="s">
        <v>215</v>
      </c>
      <c r="B425" s="106">
        <v>1640120510</v>
      </c>
      <c r="C425" s="104"/>
      <c r="D425" s="105" t="s">
        <v>221</v>
      </c>
      <c r="E425" s="17">
        <f t="shared" si="34"/>
        <v>81.4</v>
      </c>
      <c r="F425" s="17">
        <f t="shared" si="34"/>
        <v>71.8</v>
      </c>
    </row>
    <row r="426" spans="1:6" ht="31.5">
      <c r="A426" s="22" t="s">
        <v>215</v>
      </c>
      <c r="B426" s="106">
        <v>1640120510</v>
      </c>
      <c r="C426" s="106" t="s">
        <v>69</v>
      </c>
      <c r="D426" s="105" t="s">
        <v>92</v>
      </c>
      <c r="E426" s="17">
        <f t="shared" si="34"/>
        <v>81.4</v>
      </c>
      <c r="F426" s="17">
        <f t="shared" si="34"/>
        <v>71.8</v>
      </c>
    </row>
    <row r="427" spans="1:6" ht="31.5">
      <c r="A427" s="22" t="s">
        <v>215</v>
      </c>
      <c r="B427" s="106">
        <v>1640120510</v>
      </c>
      <c r="C427" s="104">
        <v>240</v>
      </c>
      <c r="D427" s="105" t="s">
        <v>245</v>
      </c>
      <c r="E427" s="17">
        <f>'№ 6 ведом'!F283</f>
        <v>81.4</v>
      </c>
      <c r="F427" s="17">
        <f>'№ 6 ведом'!G283</f>
        <v>71.8</v>
      </c>
    </row>
    <row r="428" spans="1:6" ht="12.75">
      <c r="A428" s="104" t="s">
        <v>38</v>
      </c>
      <c r="B428" s="104" t="s">
        <v>66</v>
      </c>
      <c r="C428" s="104" t="s">
        <v>66</v>
      </c>
      <c r="D428" s="48" t="s">
        <v>96</v>
      </c>
      <c r="E428" s="21">
        <f>E429+E449</f>
        <v>3939.3999999999996</v>
      </c>
      <c r="F428" s="21">
        <f>F429+F449</f>
        <v>3888.4</v>
      </c>
    </row>
    <row r="429" spans="1:6" ht="47.25">
      <c r="A429" s="104" t="s">
        <v>38</v>
      </c>
      <c r="B429" s="106">
        <v>1100000000</v>
      </c>
      <c r="C429" s="104"/>
      <c r="D429" s="105" t="s">
        <v>192</v>
      </c>
      <c r="E429" s="17">
        <f>E440+E430</f>
        <v>3866.5999999999995</v>
      </c>
      <c r="F429" s="17">
        <f>F440+F430</f>
        <v>3819.3</v>
      </c>
    </row>
    <row r="430" spans="1:6" ht="12.75">
      <c r="A430" s="104" t="s">
        <v>38</v>
      </c>
      <c r="B430" s="104">
        <v>1110000000</v>
      </c>
      <c r="C430" s="104"/>
      <c r="D430" s="48" t="s">
        <v>175</v>
      </c>
      <c r="E430" s="17">
        <f>E431</f>
        <v>3781.0999999999995</v>
      </c>
      <c r="F430" s="17">
        <f>F431</f>
        <v>3739.7000000000003</v>
      </c>
    </row>
    <row r="431" spans="1:6" ht="31.5">
      <c r="A431" s="104" t="s">
        <v>38</v>
      </c>
      <c r="B431" s="104">
        <v>1110400000</v>
      </c>
      <c r="C431" s="104"/>
      <c r="D431" s="48" t="s">
        <v>181</v>
      </c>
      <c r="E431" s="17">
        <f>E437+E432</f>
        <v>3781.0999999999995</v>
      </c>
      <c r="F431" s="17">
        <f>F437+F432</f>
        <v>3739.7000000000003</v>
      </c>
    </row>
    <row r="432" spans="1:6" ht="31.5">
      <c r="A432" s="104" t="s">
        <v>38</v>
      </c>
      <c r="B432" s="104">
        <v>1110410240</v>
      </c>
      <c r="C432" s="104"/>
      <c r="D432" s="54" t="s">
        <v>285</v>
      </c>
      <c r="E432" s="17">
        <f>E433+E435</f>
        <v>3402.9999999999995</v>
      </c>
      <c r="F432" s="17">
        <f>F433+F435</f>
        <v>3391.3</v>
      </c>
    </row>
    <row r="433" spans="1:6" ht="12.75">
      <c r="A433" s="104" t="s">
        <v>38</v>
      </c>
      <c r="B433" s="104">
        <v>1110410240</v>
      </c>
      <c r="C433" s="1" t="s">
        <v>73</v>
      </c>
      <c r="D433" s="46" t="s">
        <v>74</v>
      </c>
      <c r="E433" s="17">
        <f>E434</f>
        <v>62.20000000000003</v>
      </c>
      <c r="F433" s="17">
        <f>F434</f>
        <v>50.5</v>
      </c>
    </row>
    <row r="434" spans="1:6" ht="31.5">
      <c r="A434" s="104" t="s">
        <v>38</v>
      </c>
      <c r="B434" s="104">
        <v>1110410240</v>
      </c>
      <c r="C434" s="104">
        <v>320</v>
      </c>
      <c r="D434" s="105" t="s">
        <v>99</v>
      </c>
      <c r="E434" s="17">
        <f>'№ 6 ведом'!F674</f>
        <v>62.20000000000003</v>
      </c>
      <c r="F434" s="17">
        <f>'№ 6 ведом'!G674</f>
        <v>50.5</v>
      </c>
    </row>
    <row r="435" spans="1:6" ht="31.5">
      <c r="A435" s="104" t="s">
        <v>38</v>
      </c>
      <c r="B435" s="104">
        <v>1110410240</v>
      </c>
      <c r="C435" s="106" t="s">
        <v>94</v>
      </c>
      <c r="D435" s="105" t="s">
        <v>95</v>
      </c>
      <c r="E435" s="17">
        <f>E436</f>
        <v>3340.7999999999997</v>
      </c>
      <c r="F435" s="17">
        <f>F436</f>
        <v>3340.8</v>
      </c>
    </row>
    <row r="436" spans="1:6" ht="12.75">
      <c r="A436" s="104" t="s">
        <v>38</v>
      </c>
      <c r="B436" s="104">
        <v>1110410240</v>
      </c>
      <c r="C436" s="104">
        <v>610</v>
      </c>
      <c r="D436" s="105" t="s">
        <v>101</v>
      </c>
      <c r="E436" s="17">
        <f>'№ 6 ведом'!F676</f>
        <v>3340.7999999999997</v>
      </c>
      <c r="F436" s="17">
        <f>'№ 6 ведом'!G676</f>
        <v>3340.8</v>
      </c>
    </row>
    <row r="437" spans="1:6" ht="31.5">
      <c r="A437" s="104" t="s">
        <v>38</v>
      </c>
      <c r="B437" s="104" t="s">
        <v>183</v>
      </c>
      <c r="C437" s="104"/>
      <c r="D437" s="48" t="s">
        <v>182</v>
      </c>
      <c r="E437" s="17">
        <f>E438</f>
        <v>378.1</v>
      </c>
      <c r="F437" s="17">
        <f>F438</f>
        <v>348.4</v>
      </c>
    </row>
    <row r="438" spans="1:6" ht="12.75">
      <c r="A438" s="104" t="s">
        <v>38</v>
      </c>
      <c r="B438" s="104" t="s">
        <v>183</v>
      </c>
      <c r="C438" s="1" t="s">
        <v>73</v>
      </c>
      <c r="D438" s="49" t="s">
        <v>74</v>
      </c>
      <c r="E438" s="17">
        <f>E439</f>
        <v>378.1</v>
      </c>
      <c r="F438" s="17">
        <f>F439</f>
        <v>348.4</v>
      </c>
    </row>
    <row r="439" spans="1:6" ht="31.5">
      <c r="A439" s="104" t="s">
        <v>38</v>
      </c>
      <c r="B439" s="104" t="s">
        <v>183</v>
      </c>
      <c r="C439" s="104">
        <v>320</v>
      </c>
      <c r="D439" s="105" t="s">
        <v>99</v>
      </c>
      <c r="E439" s="17">
        <f>'№ 6 ведом'!F679</f>
        <v>378.1</v>
      </c>
      <c r="F439" s="17">
        <f>'№ 6 ведом'!G679</f>
        <v>348.4</v>
      </c>
    </row>
    <row r="440" spans="1:6" ht="31.5">
      <c r="A440" s="104" t="s">
        <v>38</v>
      </c>
      <c r="B440" s="106">
        <v>1130000000</v>
      </c>
      <c r="C440" s="104"/>
      <c r="D440" s="48" t="s">
        <v>112</v>
      </c>
      <c r="E440" s="17">
        <f>E441+E445</f>
        <v>85.5</v>
      </c>
      <c r="F440" s="17">
        <f>F441+F445</f>
        <v>79.6</v>
      </c>
    </row>
    <row r="441" spans="1:6" ht="31.5">
      <c r="A441" s="104" t="s">
        <v>38</v>
      </c>
      <c r="B441" s="104">
        <v>1130200000</v>
      </c>
      <c r="C441" s="104"/>
      <c r="D441" s="48" t="s">
        <v>184</v>
      </c>
      <c r="E441" s="17">
        <f aca="true" t="shared" si="35" ref="E441:F443">E442</f>
        <v>15.7</v>
      </c>
      <c r="F441" s="17">
        <f t="shared" si="35"/>
        <v>15.6</v>
      </c>
    </row>
    <row r="442" spans="1:6" ht="31.5">
      <c r="A442" s="104" t="s">
        <v>38</v>
      </c>
      <c r="B442" s="104">
        <v>1130220270</v>
      </c>
      <c r="C442" s="104"/>
      <c r="D442" s="48" t="s">
        <v>185</v>
      </c>
      <c r="E442" s="17">
        <f t="shared" si="35"/>
        <v>15.7</v>
      </c>
      <c r="F442" s="17">
        <f t="shared" si="35"/>
        <v>15.6</v>
      </c>
    </row>
    <row r="443" spans="1:6" ht="12.75">
      <c r="A443" s="104" t="s">
        <v>38</v>
      </c>
      <c r="B443" s="104">
        <v>1130220270</v>
      </c>
      <c r="C443" s="106" t="s">
        <v>73</v>
      </c>
      <c r="D443" s="105" t="s">
        <v>74</v>
      </c>
      <c r="E443" s="17">
        <f t="shared" si="35"/>
        <v>15.7</v>
      </c>
      <c r="F443" s="17">
        <f t="shared" si="35"/>
        <v>15.6</v>
      </c>
    </row>
    <row r="444" spans="1:6" ht="12.75">
      <c r="A444" s="104" t="s">
        <v>38</v>
      </c>
      <c r="B444" s="104">
        <v>1130220270</v>
      </c>
      <c r="C444" s="104">
        <v>350</v>
      </c>
      <c r="D444" s="48" t="s">
        <v>159</v>
      </c>
      <c r="E444" s="17">
        <f>'№ 6 ведом'!F290</f>
        <v>15.7</v>
      </c>
      <c r="F444" s="17">
        <f>'№ 6 ведом'!G290</f>
        <v>15.6</v>
      </c>
    </row>
    <row r="445" spans="1:6" ht="31.5">
      <c r="A445" s="104" t="s">
        <v>38</v>
      </c>
      <c r="B445" s="104">
        <v>1130400000</v>
      </c>
      <c r="C445" s="104"/>
      <c r="D445" s="48" t="s">
        <v>143</v>
      </c>
      <c r="E445" s="17">
        <f aca="true" t="shared" si="36" ref="E445:F447">E446</f>
        <v>69.8</v>
      </c>
      <c r="F445" s="17">
        <f t="shared" si="36"/>
        <v>64</v>
      </c>
    </row>
    <row r="446" spans="1:6" ht="31.5">
      <c r="A446" s="104" t="s">
        <v>38</v>
      </c>
      <c r="B446" s="104">
        <v>1130420290</v>
      </c>
      <c r="C446" s="104"/>
      <c r="D446" s="48" t="s">
        <v>144</v>
      </c>
      <c r="E446" s="17">
        <f t="shared" si="36"/>
        <v>69.8</v>
      </c>
      <c r="F446" s="17">
        <f t="shared" si="36"/>
        <v>64</v>
      </c>
    </row>
    <row r="447" spans="1:6" ht="31.5">
      <c r="A447" s="104" t="s">
        <v>38</v>
      </c>
      <c r="B447" s="104">
        <v>1130420290</v>
      </c>
      <c r="C447" s="106" t="s">
        <v>69</v>
      </c>
      <c r="D447" s="105" t="s">
        <v>92</v>
      </c>
      <c r="E447" s="17">
        <f t="shared" si="36"/>
        <v>69.8</v>
      </c>
      <c r="F447" s="17">
        <f t="shared" si="36"/>
        <v>64</v>
      </c>
    </row>
    <row r="448" spans="1:6" ht="31.5">
      <c r="A448" s="104" t="s">
        <v>38</v>
      </c>
      <c r="B448" s="104">
        <v>1130420290</v>
      </c>
      <c r="C448" s="104">
        <v>240</v>
      </c>
      <c r="D448" s="105" t="s">
        <v>245</v>
      </c>
      <c r="E448" s="17">
        <f>'№ 6 ведом'!F294</f>
        <v>69.8</v>
      </c>
      <c r="F448" s="17">
        <f>'№ 6 ведом'!G294</f>
        <v>64</v>
      </c>
    </row>
    <row r="449" spans="1:6" ht="47.25">
      <c r="A449" s="104" t="s">
        <v>38</v>
      </c>
      <c r="B449" s="106">
        <v>1200000000</v>
      </c>
      <c r="C449" s="104"/>
      <c r="D449" s="48" t="s">
        <v>187</v>
      </c>
      <c r="E449" s="17">
        <f>E450</f>
        <v>72.8</v>
      </c>
      <c r="F449" s="17">
        <f>F450</f>
        <v>69.1</v>
      </c>
    </row>
    <row r="450" spans="1:6" ht="31.5">
      <c r="A450" s="104" t="s">
        <v>38</v>
      </c>
      <c r="B450" s="106">
        <v>1240000000</v>
      </c>
      <c r="C450" s="10"/>
      <c r="D450" s="48" t="s">
        <v>133</v>
      </c>
      <c r="E450" s="17">
        <f>E451</f>
        <v>72.8</v>
      </c>
      <c r="F450" s="17">
        <f>F451</f>
        <v>69.1</v>
      </c>
    </row>
    <row r="451" spans="1:6" ht="31.5">
      <c r="A451" s="104" t="s">
        <v>38</v>
      </c>
      <c r="B451" s="10" t="s">
        <v>135</v>
      </c>
      <c r="C451" s="10"/>
      <c r="D451" s="48" t="s">
        <v>143</v>
      </c>
      <c r="E451" s="17">
        <f>E452+E455+E458</f>
        <v>72.8</v>
      </c>
      <c r="F451" s="17">
        <f>F452+F455+F458</f>
        <v>69.1</v>
      </c>
    </row>
    <row r="452" spans="1:6" ht="31.5">
      <c r="A452" s="104" t="s">
        <v>38</v>
      </c>
      <c r="B452" s="10" t="s">
        <v>137</v>
      </c>
      <c r="C452" s="10"/>
      <c r="D452" s="48" t="s">
        <v>136</v>
      </c>
      <c r="E452" s="17">
        <f>E453</f>
        <v>22.8</v>
      </c>
      <c r="F452" s="17">
        <f>F453</f>
        <v>22.8</v>
      </c>
    </row>
    <row r="453" spans="1:6" ht="31.5">
      <c r="A453" s="104" t="s">
        <v>38</v>
      </c>
      <c r="B453" s="10" t="s">
        <v>137</v>
      </c>
      <c r="C453" s="106" t="s">
        <v>69</v>
      </c>
      <c r="D453" s="105" t="s">
        <v>92</v>
      </c>
      <c r="E453" s="17">
        <f>E454</f>
        <v>22.8</v>
      </c>
      <c r="F453" s="17">
        <f>F454</f>
        <v>22.8</v>
      </c>
    </row>
    <row r="454" spans="1:6" ht="31.5">
      <c r="A454" s="104" t="s">
        <v>38</v>
      </c>
      <c r="B454" s="10" t="s">
        <v>137</v>
      </c>
      <c r="C454" s="104">
        <v>240</v>
      </c>
      <c r="D454" s="105" t="s">
        <v>245</v>
      </c>
      <c r="E454" s="17">
        <f>'№ 6 ведом'!F300</f>
        <v>22.8</v>
      </c>
      <c r="F454" s="17">
        <f>'№ 6 ведом'!G300</f>
        <v>22.8</v>
      </c>
    </row>
    <row r="455" spans="1:6" ht="31.5">
      <c r="A455" s="104" t="s">
        <v>38</v>
      </c>
      <c r="B455" s="10" t="s">
        <v>139</v>
      </c>
      <c r="C455" s="10"/>
      <c r="D455" s="48" t="s">
        <v>138</v>
      </c>
      <c r="E455" s="17">
        <f>E456</f>
        <v>14</v>
      </c>
      <c r="F455" s="17">
        <f>F456</f>
        <v>10.3</v>
      </c>
    </row>
    <row r="456" spans="1:6" ht="31.5">
      <c r="A456" s="104" t="s">
        <v>38</v>
      </c>
      <c r="B456" s="10" t="s">
        <v>139</v>
      </c>
      <c r="C456" s="106" t="s">
        <v>69</v>
      </c>
      <c r="D456" s="105" t="s">
        <v>92</v>
      </c>
      <c r="E456" s="17">
        <f>E457</f>
        <v>14</v>
      </c>
      <c r="F456" s="17">
        <f>F457</f>
        <v>10.3</v>
      </c>
    </row>
    <row r="457" spans="1:6" ht="31.5">
      <c r="A457" s="104" t="s">
        <v>38</v>
      </c>
      <c r="B457" s="10" t="s">
        <v>139</v>
      </c>
      <c r="C457" s="104">
        <v>240</v>
      </c>
      <c r="D457" s="105" t="s">
        <v>245</v>
      </c>
      <c r="E457" s="17">
        <f>'№ 6 ведом'!F303</f>
        <v>14</v>
      </c>
      <c r="F457" s="17">
        <f>'№ 6 ведом'!G303</f>
        <v>10.3</v>
      </c>
    </row>
    <row r="458" spans="1:6" ht="12.75">
      <c r="A458" s="104" t="s">
        <v>38</v>
      </c>
      <c r="B458" s="10" t="s">
        <v>216</v>
      </c>
      <c r="C458" s="10"/>
      <c r="D458" s="48" t="s">
        <v>140</v>
      </c>
      <c r="E458" s="17">
        <f>E459</f>
        <v>36</v>
      </c>
      <c r="F458" s="17">
        <f>F459</f>
        <v>36</v>
      </c>
    </row>
    <row r="459" spans="1:6" ht="12.75">
      <c r="A459" s="104" t="s">
        <v>38</v>
      </c>
      <c r="B459" s="10" t="s">
        <v>216</v>
      </c>
      <c r="C459" s="106" t="s">
        <v>73</v>
      </c>
      <c r="D459" s="105" t="s">
        <v>74</v>
      </c>
      <c r="E459" s="17">
        <f>E460</f>
        <v>36</v>
      </c>
      <c r="F459" s="17">
        <f>F460</f>
        <v>36</v>
      </c>
    </row>
    <row r="460" spans="1:6" ht="12.75">
      <c r="A460" s="104" t="s">
        <v>38</v>
      </c>
      <c r="B460" s="10" t="s">
        <v>216</v>
      </c>
      <c r="C460" s="10" t="s">
        <v>141</v>
      </c>
      <c r="D460" s="48" t="s">
        <v>142</v>
      </c>
      <c r="E460" s="17">
        <f>'№ 6 ведом'!F306</f>
        <v>36</v>
      </c>
      <c r="F460" s="17">
        <f>'№ 6 ведом'!G306</f>
        <v>36</v>
      </c>
    </row>
    <row r="461" spans="1:6" ht="12.75">
      <c r="A461" s="104" t="s">
        <v>52</v>
      </c>
      <c r="B461" s="104" t="s">
        <v>66</v>
      </c>
      <c r="C461" s="104" t="s">
        <v>66</v>
      </c>
      <c r="D461" s="48" t="s">
        <v>12</v>
      </c>
      <c r="E461" s="17">
        <f>E462+E472</f>
        <v>6500.599999999999</v>
      </c>
      <c r="F461" s="17">
        <f>F462+F472</f>
        <v>6428.8</v>
      </c>
    </row>
    <row r="462" spans="1:6" ht="47.25">
      <c r="A462" s="104" t="s">
        <v>52</v>
      </c>
      <c r="B462" s="106">
        <v>1100000000</v>
      </c>
      <c r="C462" s="104"/>
      <c r="D462" s="105" t="s">
        <v>192</v>
      </c>
      <c r="E462" s="17">
        <f>E463</f>
        <v>245.5</v>
      </c>
      <c r="F462" s="17">
        <f>F463</f>
        <v>175.6</v>
      </c>
    </row>
    <row r="463" spans="1:6" ht="31.5">
      <c r="A463" s="104" t="s">
        <v>52</v>
      </c>
      <c r="B463" s="106">
        <v>1130000000</v>
      </c>
      <c r="C463" s="24"/>
      <c r="D463" s="48" t="s">
        <v>112</v>
      </c>
      <c r="E463" s="17">
        <f>E468+E464</f>
        <v>245.5</v>
      </c>
      <c r="F463" s="17">
        <f>F468+F464</f>
        <v>175.6</v>
      </c>
    </row>
    <row r="464" spans="1:6" ht="31.5">
      <c r="A464" s="104" t="s">
        <v>52</v>
      </c>
      <c r="B464" s="104">
        <v>1130100000</v>
      </c>
      <c r="C464" s="24"/>
      <c r="D464" s="48" t="s">
        <v>229</v>
      </c>
      <c r="E464" s="17">
        <f aca="true" t="shared" si="37" ref="E464:F466">E465</f>
        <v>155.9</v>
      </c>
      <c r="F464" s="17">
        <f t="shared" si="37"/>
        <v>142.1</v>
      </c>
    </row>
    <row r="465" spans="1:6" ht="31.5">
      <c r="A465" s="104" t="s">
        <v>52</v>
      </c>
      <c r="B465" s="106">
        <v>1130120260</v>
      </c>
      <c r="C465" s="24"/>
      <c r="D465" s="48" t="s">
        <v>230</v>
      </c>
      <c r="E465" s="17">
        <f t="shared" si="37"/>
        <v>155.9</v>
      </c>
      <c r="F465" s="17">
        <f t="shared" si="37"/>
        <v>142.1</v>
      </c>
    </row>
    <row r="466" spans="1:6" ht="31.5">
      <c r="A466" s="104" t="s">
        <v>52</v>
      </c>
      <c r="B466" s="106">
        <v>1130120260</v>
      </c>
      <c r="C466" s="104" t="s">
        <v>69</v>
      </c>
      <c r="D466" s="48" t="s">
        <v>92</v>
      </c>
      <c r="E466" s="17">
        <f t="shared" si="37"/>
        <v>155.9</v>
      </c>
      <c r="F466" s="17">
        <f t="shared" si="37"/>
        <v>142.1</v>
      </c>
    </row>
    <row r="467" spans="1:6" ht="31.5">
      <c r="A467" s="104" t="s">
        <v>52</v>
      </c>
      <c r="B467" s="106">
        <v>1130120260</v>
      </c>
      <c r="C467" s="104">
        <v>240</v>
      </c>
      <c r="D467" s="48" t="s">
        <v>245</v>
      </c>
      <c r="E467" s="17">
        <f>'№ 6 ведом'!F686</f>
        <v>155.9</v>
      </c>
      <c r="F467" s="17">
        <f>'№ 6 ведом'!G686</f>
        <v>142.1</v>
      </c>
    </row>
    <row r="468" spans="1:6" ht="31.5">
      <c r="A468" s="104" t="s">
        <v>52</v>
      </c>
      <c r="B468" s="104">
        <v>1130200000</v>
      </c>
      <c r="C468" s="104"/>
      <c r="D468" s="48" t="s">
        <v>184</v>
      </c>
      <c r="E468" s="17">
        <f aca="true" t="shared" si="38" ref="E468:F470">E469</f>
        <v>89.6</v>
      </c>
      <c r="F468" s="17">
        <f t="shared" si="38"/>
        <v>33.5</v>
      </c>
    </row>
    <row r="469" spans="1:6" ht="31.5">
      <c r="A469" s="104" t="s">
        <v>52</v>
      </c>
      <c r="B469" s="104">
        <v>1130220270</v>
      </c>
      <c r="C469" s="104"/>
      <c r="D469" s="48" t="s">
        <v>185</v>
      </c>
      <c r="E469" s="17">
        <f t="shared" si="38"/>
        <v>89.6</v>
      </c>
      <c r="F469" s="17">
        <f t="shared" si="38"/>
        <v>33.5</v>
      </c>
    </row>
    <row r="470" spans="1:6" ht="31.5">
      <c r="A470" s="104" t="s">
        <v>52</v>
      </c>
      <c r="B470" s="104">
        <v>1130220270</v>
      </c>
      <c r="C470" s="104" t="s">
        <v>69</v>
      </c>
      <c r="D470" s="48" t="s">
        <v>92</v>
      </c>
      <c r="E470" s="17">
        <f t="shared" si="38"/>
        <v>89.6</v>
      </c>
      <c r="F470" s="17">
        <f t="shared" si="38"/>
        <v>33.5</v>
      </c>
    </row>
    <row r="471" spans="1:6" ht="31.5">
      <c r="A471" s="104" t="s">
        <v>52</v>
      </c>
      <c r="B471" s="104">
        <v>1130220270</v>
      </c>
      <c r="C471" s="104">
        <v>240</v>
      </c>
      <c r="D471" s="48" t="s">
        <v>245</v>
      </c>
      <c r="E471" s="17">
        <f>'№ 6 ведом'!F690</f>
        <v>89.6</v>
      </c>
      <c r="F471" s="17">
        <f>'№ 6 ведом'!G690</f>
        <v>33.5</v>
      </c>
    </row>
    <row r="472" spans="1:6" ht="12.75">
      <c r="A472" s="104" t="s">
        <v>52</v>
      </c>
      <c r="B472" s="104">
        <v>9900000000</v>
      </c>
      <c r="C472" s="104"/>
      <c r="D472" s="48" t="s">
        <v>102</v>
      </c>
      <c r="E472" s="17">
        <f aca="true" t="shared" si="39" ref="E472:F474">E473</f>
        <v>6255.099999999999</v>
      </c>
      <c r="F472" s="17">
        <f t="shared" si="39"/>
        <v>6253.2</v>
      </c>
    </row>
    <row r="473" spans="1:6" ht="31.5">
      <c r="A473" s="104" t="s">
        <v>52</v>
      </c>
      <c r="B473" s="104">
        <v>9990000000</v>
      </c>
      <c r="C473" s="104"/>
      <c r="D473" s="48" t="s">
        <v>155</v>
      </c>
      <c r="E473" s="17">
        <f t="shared" si="39"/>
        <v>6255.099999999999</v>
      </c>
      <c r="F473" s="17">
        <f t="shared" si="39"/>
        <v>6253.2</v>
      </c>
    </row>
    <row r="474" spans="1:6" ht="31.5">
      <c r="A474" s="104" t="s">
        <v>52</v>
      </c>
      <c r="B474" s="104">
        <v>9990200000</v>
      </c>
      <c r="C474" s="24"/>
      <c r="D474" s="48" t="s">
        <v>115</v>
      </c>
      <c r="E474" s="17">
        <f t="shared" si="39"/>
        <v>6255.099999999999</v>
      </c>
      <c r="F474" s="17">
        <f t="shared" si="39"/>
        <v>6253.2</v>
      </c>
    </row>
    <row r="475" spans="1:6" ht="47.25">
      <c r="A475" s="104" t="s">
        <v>52</v>
      </c>
      <c r="B475" s="104">
        <v>9990225000</v>
      </c>
      <c r="C475" s="104"/>
      <c r="D475" s="48" t="s">
        <v>116</v>
      </c>
      <c r="E475" s="17">
        <f>E476+E480+E478</f>
        <v>6255.099999999999</v>
      </c>
      <c r="F475" s="17">
        <f>F476+F480+F478</f>
        <v>6253.2</v>
      </c>
    </row>
    <row r="476" spans="1:6" ht="63">
      <c r="A476" s="104" t="s">
        <v>52</v>
      </c>
      <c r="B476" s="104">
        <v>9990225000</v>
      </c>
      <c r="C476" s="104" t="s">
        <v>68</v>
      </c>
      <c r="D476" s="48" t="s">
        <v>1</v>
      </c>
      <c r="E476" s="17">
        <f>E477</f>
        <v>6187.4</v>
      </c>
      <c r="F476" s="17">
        <f>F477</f>
        <v>6187.4</v>
      </c>
    </row>
    <row r="477" spans="1:6" ht="31.5">
      <c r="A477" s="104" t="s">
        <v>52</v>
      </c>
      <c r="B477" s="104">
        <v>9990225000</v>
      </c>
      <c r="C477" s="104">
        <v>120</v>
      </c>
      <c r="D477" s="48" t="s">
        <v>246</v>
      </c>
      <c r="E477" s="17">
        <f>'№ 6 ведом'!F696</f>
        <v>6187.4</v>
      </c>
      <c r="F477" s="17">
        <f>'№ 6 ведом'!G696</f>
        <v>6187.4</v>
      </c>
    </row>
    <row r="478" spans="1:6" ht="12.75">
      <c r="A478" s="137" t="s">
        <v>52</v>
      </c>
      <c r="B478" s="137">
        <v>9990225000</v>
      </c>
      <c r="C478" s="137">
        <v>300</v>
      </c>
      <c r="D478" s="138" t="s">
        <v>74</v>
      </c>
      <c r="E478" s="17">
        <f>E479</f>
        <v>41.5</v>
      </c>
      <c r="F478" s="17">
        <f>F479</f>
        <v>41.5</v>
      </c>
    </row>
    <row r="479" spans="1:6" ht="31.5">
      <c r="A479" s="137" t="s">
        <v>52</v>
      </c>
      <c r="B479" s="137">
        <v>9990225000</v>
      </c>
      <c r="C479" s="146" t="s">
        <v>98</v>
      </c>
      <c r="D479" s="46" t="s">
        <v>99</v>
      </c>
      <c r="E479" s="17">
        <f>'№ 6 ведом'!F698</f>
        <v>41.5</v>
      </c>
      <c r="F479" s="17">
        <f>'№ 6 ведом'!G698</f>
        <v>41.5</v>
      </c>
    </row>
    <row r="480" spans="1:6" ht="12.75">
      <c r="A480" s="104" t="s">
        <v>52</v>
      </c>
      <c r="B480" s="104">
        <v>9990225000</v>
      </c>
      <c r="C480" s="74" t="s">
        <v>70</v>
      </c>
      <c r="D480" s="48" t="s">
        <v>71</v>
      </c>
      <c r="E480" s="17">
        <f>E481</f>
        <v>26.199999999999996</v>
      </c>
      <c r="F480" s="17">
        <f>F481</f>
        <v>24.3</v>
      </c>
    </row>
    <row r="481" spans="1:6" ht="12.75">
      <c r="A481" s="104" t="s">
        <v>52</v>
      </c>
      <c r="B481" s="104">
        <v>9990225000</v>
      </c>
      <c r="C481" s="74">
        <v>850</v>
      </c>
      <c r="D481" s="48" t="s">
        <v>97</v>
      </c>
      <c r="E481" s="17">
        <f>'№ 6 ведом'!F700</f>
        <v>26.199999999999996</v>
      </c>
      <c r="F481" s="17">
        <f>'№ 6 ведом'!G700</f>
        <v>24.3</v>
      </c>
    </row>
    <row r="482" spans="1:6" ht="12.75">
      <c r="A482" s="4" t="s">
        <v>41</v>
      </c>
      <c r="B482" s="4" t="s">
        <v>66</v>
      </c>
      <c r="C482" s="75" t="s">
        <v>66</v>
      </c>
      <c r="D482" s="19" t="s">
        <v>82</v>
      </c>
      <c r="E482" s="58">
        <f>E483</f>
        <v>41225</v>
      </c>
      <c r="F482" s="58">
        <f>F483</f>
        <v>41204.4</v>
      </c>
    </row>
    <row r="483" spans="1:6" ht="12.75">
      <c r="A483" s="107" t="s">
        <v>42</v>
      </c>
      <c r="B483" s="107" t="s">
        <v>66</v>
      </c>
      <c r="C483" s="142" t="s">
        <v>66</v>
      </c>
      <c r="D483" s="48" t="s">
        <v>13</v>
      </c>
      <c r="E483" s="17">
        <f>E490+E530+E540+E484</f>
        <v>41225</v>
      </c>
      <c r="F483" s="17">
        <f>F490+F530+F540+F484</f>
        <v>41204.4</v>
      </c>
    </row>
    <row r="484" spans="1:6" ht="47.25">
      <c r="A484" s="143" t="s">
        <v>42</v>
      </c>
      <c r="B484" s="145">
        <v>1100000000</v>
      </c>
      <c r="C484" s="147"/>
      <c r="D484" s="144" t="s">
        <v>192</v>
      </c>
      <c r="E484" s="17">
        <f aca="true" t="shared" si="40" ref="E484:F488">E485</f>
        <v>384.4</v>
      </c>
      <c r="F484" s="17">
        <f t="shared" si="40"/>
        <v>384.4</v>
      </c>
    </row>
    <row r="485" spans="1:6" ht="31.5">
      <c r="A485" s="143" t="s">
        <v>42</v>
      </c>
      <c r="B485" s="145">
        <v>1130000000</v>
      </c>
      <c r="C485" s="147"/>
      <c r="D485" s="144" t="s">
        <v>112</v>
      </c>
      <c r="E485" s="17">
        <f t="shared" si="40"/>
        <v>384.4</v>
      </c>
      <c r="F485" s="17">
        <f t="shared" si="40"/>
        <v>384.4</v>
      </c>
    </row>
    <row r="486" spans="1:6" ht="47.25">
      <c r="A486" s="143" t="s">
        <v>42</v>
      </c>
      <c r="B486" s="145">
        <v>1130300000</v>
      </c>
      <c r="C486" s="147"/>
      <c r="D486" s="144" t="s">
        <v>113</v>
      </c>
      <c r="E486" s="17">
        <f t="shared" si="40"/>
        <v>384.4</v>
      </c>
      <c r="F486" s="17">
        <f t="shared" si="40"/>
        <v>384.4</v>
      </c>
    </row>
    <row r="487" spans="1:6" ht="31.5">
      <c r="A487" s="143" t="s">
        <v>42</v>
      </c>
      <c r="B487" s="145">
        <v>1130320280</v>
      </c>
      <c r="C487" s="147"/>
      <c r="D487" s="144" t="s">
        <v>114</v>
      </c>
      <c r="E487" s="17">
        <f t="shared" si="40"/>
        <v>384.4</v>
      </c>
      <c r="F487" s="17">
        <f t="shared" si="40"/>
        <v>384.4</v>
      </c>
    </row>
    <row r="488" spans="1:6" ht="31.5">
      <c r="A488" s="143" t="s">
        <v>42</v>
      </c>
      <c r="B488" s="145">
        <v>1130320280</v>
      </c>
      <c r="C488" s="122" t="s">
        <v>94</v>
      </c>
      <c r="D488" s="144" t="s">
        <v>95</v>
      </c>
      <c r="E488" s="17">
        <f t="shared" si="40"/>
        <v>384.4</v>
      </c>
      <c r="F488" s="17">
        <f t="shared" si="40"/>
        <v>384.4</v>
      </c>
    </row>
    <row r="489" spans="1:6" ht="12.75">
      <c r="A489" s="143" t="s">
        <v>42</v>
      </c>
      <c r="B489" s="145">
        <v>1130320280</v>
      </c>
      <c r="C489" s="74">
        <v>610</v>
      </c>
      <c r="D489" s="144" t="s">
        <v>101</v>
      </c>
      <c r="E489" s="17">
        <f>'№ 6 ведом'!F314</f>
        <v>384.4</v>
      </c>
      <c r="F489" s="17">
        <f>'№ 6 ведом'!G314</f>
        <v>384.4</v>
      </c>
    </row>
    <row r="490" spans="1:6" ht="47.25">
      <c r="A490" s="104" t="s">
        <v>42</v>
      </c>
      <c r="B490" s="106">
        <v>1200000000</v>
      </c>
      <c r="C490" s="104"/>
      <c r="D490" s="48" t="s">
        <v>187</v>
      </c>
      <c r="E490" s="17">
        <f>E491+E509</f>
        <v>39359.4</v>
      </c>
      <c r="F490" s="17">
        <f>F491+F509</f>
        <v>39338.8</v>
      </c>
    </row>
    <row r="491" spans="1:6" ht="31.5">
      <c r="A491" s="104" t="s">
        <v>42</v>
      </c>
      <c r="B491" s="106">
        <v>1210000000</v>
      </c>
      <c r="C491" s="104"/>
      <c r="D491" s="48" t="s">
        <v>200</v>
      </c>
      <c r="E491" s="17">
        <f>E492+E502</f>
        <v>12971.199999999999</v>
      </c>
      <c r="F491" s="17">
        <f>F492+F502</f>
        <v>12971.2</v>
      </c>
    </row>
    <row r="492" spans="1:6" ht="31.5">
      <c r="A492" s="104" t="s">
        <v>42</v>
      </c>
      <c r="B492" s="106">
        <v>1210100000</v>
      </c>
      <c r="C492" s="104"/>
      <c r="D492" s="48" t="s">
        <v>201</v>
      </c>
      <c r="E492" s="17">
        <f>E496+E493+E499</f>
        <v>12871.199999999999</v>
      </c>
      <c r="F492" s="17">
        <f>F496+F493+F499</f>
        <v>12871.2</v>
      </c>
    </row>
    <row r="493" spans="1:6" ht="47.25">
      <c r="A493" s="104" t="s">
        <v>42</v>
      </c>
      <c r="B493" s="106">
        <v>1210110680</v>
      </c>
      <c r="C493" s="104"/>
      <c r="D493" s="59" t="s">
        <v>277</v>
      </c>
      <c r="E493" s="17">
        <f>E494</f>
        <v>4807</v>
      </c>
      <c r="F493" s="17">
        <f>F494</f>
        <v>4807</v>
      </c>
    </row>
    <row r="494" spans="1:6" ht="31.5">
      <c r="A494" s="104" t="s">
        <v>42</v>
      </c>
      <c r="B494" s="106">
        <v>1210110680</v>
      </c>
      <c r="C494" s="106" t="s">
        <v>94</v>
      </c>
      <c r="D494" s="54" t="s">
        <v>95</v>
      </c>
      <c r="E494" s="17">
        <f>E495</f>
        <v>4807</v>
      </c>
      <c r="F494" s="17">
        <f>F495</f>
        <v>4807</v>
      </c>
    </row>
    <row r="495" spans="1:6" ht="12.75">
      <c r="A495" s="104" t="s">
        <v>42</v>
      </c>
      <c r="B495" s="106">
        <v>1210110680</v>
      </c>
      <c r="C495" s="104">
        <v>610</v>
      </c>
      <c r="D495" s="54" t="s">
        <v>101</v>
      </c>
      <c r="E495" s="17">
        <f>'№ 6 ведом'!F320</f>
        <v>4807</v>
      </c>
      <c r="F495" s="17">
        <f>'№ 6 ведом'!G320</f>
        <v>4807</v>
      </c>
    </row>
    <row r="496" spans="1:6" ht="31.5">
      <c r="A496" s="104" t="s">
        <v>42</v>
      </c>
      <c r="B496" s="106">
        <v>1210120010</v>
      </c>
      <c r="C496" s="104"/>
      <c r="D496" s="48" t="s">
        <v>121</v>
      </c>
      <c r="E496" s="17">
        <f>E497</f>
        <v>8015.599999999999</v>
      </c>
      <c r="F496" s="17">
        <f>F497</f>
        <v>8015.6</v>
      </c>
    </row>
    <row r="497" spans="1:6" ht="31.5">
      <c r="A497" s="104" t="s">
        <v>42</v>
      </c>
      <c r="B497" s="106">
        <v>1210120010</v>
      </c>
      <c r="C497" s="106" t="s">
        <v>94</v>
      </c>
      <c r="D497" s="105" t="s">
        <v>95</v>
      </c>
      <c r="E497" s="17">
        <f>E498</f>
        <v>8015.599999999999</v>
      </c>
      <c r="F497" s="17">
        <f>F498</f>
        <v>8015.6</v>
      </c>
    </row>
    <row r="498" spans="1:6" ht="12.75">
      <c r="A498" s="104" t="s">
        <v>42</v>
      </c>
      <c r="B498" s="106">
        <v>1210120010</v>
      </c>
      <c r="C498" s="104">
        <v>610</v>
      </c>
      <c r="D498" s="105" t="s">
        <v>101</v>
      </c>
      <c r="E498" s="17">
        <f>'№ 6 ведом'!F323</f>
        <v>8015.599999999999</v>
      </c>
      <c r="F498" s="17">
        <f>'№ 6 ведом'!G323</f>
        <v>8015.6</v>
      </c>
    </row>
    <row r="499" spans="1:6" ht="47.25">
      <c r="A499" s="104" t="s">
        <v>42</v>
      </c>
      <c r="B499" s="106" t="s">
        <v>290</v>
      </c>
      <c r="C499" s="104"/>
      <c r="D499" s="59" t="s">
        <v>291</v>
      </c>
      <c r="E499" s="17">
        <f>E500</f>
        <v>48.599999999999994</v>
      </c>
      <c r="F499" s="17">
        <f>F500</f>
        <v>48.6</v>
      </c>
    </row>
    <row r="500" spans="1:6" ht="31.5">
      <c r="A500" s="104" t="s">
        <v>42</v>
      </c>
      <c r="B500" s="106" t="s">
        <v>290</v>
      </c>
      <c r="C500" s="106" t="s">
        <v>94</v>
      </c>
      <c r="D500" s="54" t="s">
        <v>95</v>
      </c>
      <c r="E500" s="17">
        <f>E501</f>
        <v>48.599999999999994</v>
      </c>
      <c r="F500" s="17">
        <f>F501</f>
        <v>48.6</v>
      </c>
    </row>
    <row r="501" spans="1:6" ht="12.75">
      <c r="A501" s="104" t="s">
        <v>42</v>
      </c>
      <c r="B501" s="106" t="s">
        <v>290</v>
      </c>
      <c r="C501" s="104">
        <v>610</v>
      </c>
      <c r="D501" s="54" t="s">
        <v>101</v>
      </c>
      <c r="E501" s="17">
        <f>'№ 6 ведом'!F326</f>
        <v>48.599999999999994</v>
      </c>
      <c r="F501" s="17">
        <f>'№ 6 ведом'!G326</f>
        <v>48.6</v>
      </c>
    </row>
    <row r="502" spans="1:6" ht="47.25">
      <c r="A502" s="104" t="s">
        <v>42</v>
      </c>
      <c r="B502" s="106">
        <v>1210300000</v>
      </c>
      <c r="C502" s="104"/>
      <c r="D502" s="105" t="s">
        <v>202</v>
      </c>
      <c r="E502" s="17">
        <f>E503+E506</f>
        <v>100</v>
      </c>
      <c r="F502" s="17">
        <f>F503+F506</f>
        <v>100</v>
      </c>
    </row>
    <row r="503" spans="1:6" ht="12.75">
      <c r="A503" s="104" t="s">
        <v>42</v>
      </c>
      <c r="B503" s="104">
        <v>1210320010</v>
      </c>
      <c r="C503" s="104"/>
      <c r="D503" s="48" t="s">
        <v>242</v>
      </c>
      <c r="E503" s="17">
        <f>E504</f>
        <v>80</v>
      </c>
      <c r="F503" s="17">
        <f>F504</f>
        <v>80</v>
      </c>
    </row>
    <row r="504" spans="1:6" ht="31.5">
      <c r="A504" s="104" t="s">
        <v>42</v>
      </c>
      <c r="B504" s="104">
        <v>1210320010</v>
      </c>
      <c r="C504" s="106" t="s">
        <v>94</v>
      </c>
      <c r="D504" s="105" t="s">
        <v>95</v>
      </c>
      <c r="E504" s="17">
        <f>E505</f>
        <v>80</v>
      </c>
      <c r="F504" s="17">
        <f>F505</f>
        <v>80</v>
      </c>
    </row>
    <row r="505" spans="1:6" ht="12.75">
      <c r="A505" s="104" t="s">
        <v>42</v>
      </c>
      <c r="B505" s="104">
        <v>1210320010</v>
      </c>
      <c r="C505" s="104">
        <v>610</v>
      </c>
      <c r="D505" s="105" t="s">
        <v>101</v>
      </c>
      <c r="E505" s="17">
        <f>'№ 6 ведом'!F330</f>
        <v>80</v>
      </c>
      <c r="F505" s="17">
        <f>'№ 6 ведом'!G330</f>
        <v>80</v>
      </c>
    </row>
    <row r="506" spans="1:6" ht="12.75">
      <c r="A506" s="134" t="s">
        <v>42</v>
      </c>
      <c r="B506" s="134" t="s">
        <v>393</v>
      </c>
      <c r="C506" s="134"/>
      <c r="D506" s="48" t="s">
        <v>242</v>
      </c>
      <c r="E506" s="17">
        <f>E507</f>
        <v>20</v>
      </c>
      <c r="F506" s="17">
        <f>F507</f>
        <v>20</v>
      </c>
    </row>
    <row r="507" spans="1:6" ht="31.5">
      <c r="A507" s="134" t="s">
        <v>42</v>
      </c>
      <c r="B507" s="134" t="s">
        <v>393</v>
      </c>
      <c r="C507" s="136" t="s">
        <v>94</v>
      </c>
      <c r="D507" s="135" t="s">
        <v>95</v>
      </c>
      <c r="E507" s="17">
        <f>E508</f>
        <v>20</v>
      </c>
      <c r="F507" s="17">
        <f>F508</f>
        <v>20</v>
      </c>
    </row>
    <row r="508" spans="1:6" ht="12.75">
      <c r="A508" s="134" t="s">
        <v>42</v>
      </c>
      <c r="B508" s="134" t="s">
        <v>393</v>
      </c>
      <c r="C508" s="134">
        <v>610</v>
      </c>
      <c r="D508" s="135" t="s">
        <v>101</v>
      </c>
      <c r="E508" s="17">
        <f>'№ 6 ведом'!F333</f>
        <v>20</v>
      </c>
      <c r="F508" s="17">
        <f>'№ 6 ведом'!G333</f>
        <v>20</v>
      </c>
    </row>
    <row r="509" spans="1:6" ht="31.5">
      <c r="A509" s="104" t="s">
        <v>42</v>
      </c>
      <c r="B509" s="106">
        <v>1220000000</v>
      </c>
      <c r="C509" s="104"/>
      <c r="D509" s="48" t="s">
        <v>145</v>
      </c>
      <c r="E509" s="17">
        <f>E510+E520+E526</f>
        <v>26388.2</v>
      </c>
      <c r="F509" s="17">
        <f>F510+F520+F526</f>
        <v>26367.600000000002</v>
      </c>
    </row>
    <row r="510" spans="1:6" ht="47.25">
      <c r="A510" s="104" t="s">
        <v>42</v>
      </c>
      <c r="B510" s="104">
        <v>1220100000</v>
      </c>
      <c r="C510" s="104"/>
      <c r="D510" s="48" t="s">
        <v>203</v>
      </c>
      <c r="E510" s="17">
        <f>E511+E514+E517</f>
        <v>23951.4</v>
      </c>
      <c r="F510" s="17">
        <f>F511+F514+F517</f>
        <v>23951.4</v>
      </c>
    </row>
    <row r="511" spans="1:6" ht="47.25">
      <c r="A511" s="104" t="s">
        <v>42</v>
      </c>
      <c r="B511" s="104">
        <v>1220110680</v>
      </c>
      <c r="C511" s="104"/>
      <c r="D511" s="59" t="s">
        <v>277</v>
      </c>
      <c r="E511" s="17">
        <f>E512</f>
        <v>9550.1</v>
      </c>
      <c r="F511" s="17">
        <f>F512</f>
        <v>9550.1</v>
      </c>
    </row>
    <row r="512" spans="1:6" ht="31.5">
      <c r="A512" s="104" t="s">
        <v>42</v>
      </c>
      <c r="B512" s="104">
        <v>1220110680</v>
      </c>
      <c r="C512" s="106" t="s">
        <v>94</v>
      </c>
      <c r="D512" s="54" t="s">
        <v>95</v>
      </c>
      <c r="E512" s="17">
        <f>E513</f>
        <v>9550.1</v>
      </c>
      <c r="F512" s="17">
        <f>F513</f>
        <v>9550.1</v>
      </c>
    </row>
    <row r="513" spans="1:6" ht="12.75">
      <c r="A513" s="104" t="s">
        <v>42</v>
      </c>
      <c r="B513" s="104">
        <v>1220110680</v>
      </c>
      <c r="C513" s="104">
        <v>610</v>
      </c>
      <c r="D513" s="54" t="s">
        <v>101</v>
      </c>
      <c r="E513" s="17">
        <f>'№ 6 ведом'!F338</f>
        <v>9550.1</v>
      </c>
      <c r="F513" s="17">
        <f>'№ 6 ведом'!G338</f>
        <v>9550.1</v>
      </c>
    </row>
    <row r="514" spans="1:6" ht="31.5">
      <c r="A514" s="104" t="s">
        <v>42</v>
      </c>
      <c r="B514" s="104">
        <v>1220120010</v>
      </c>
      <c r="C514" s="104"/>
      <c r="D514" s="105" t="s">
        <v>121</v>
      </c>
      <c r="E514" s="17">
        <f>E515</f>
        <v>14304.8</v>
      </c>
      <c r="F514" s="17">
        <f>F515</f>
        <v>14304.8</v>
      </c>
    </row>
    <row r="515" spans="1:6" ht="31.5">
      <c r="A515" s="104" t="s">
        <v>42</v>
      </c>
      <c r="B515" s="104">
        <v>1220120010</v>
      </c>
      <c r="C515" s="106" t="s">
        <v>94</v>
      </c>
      <c r="D515" s="105" t="s">
        <v>95</v>
      </c>
      <c r="E515" s="17">
        <f>E516</f>
        <v>14304.8</v>
      </c>
      <c r="F515" s="17">
        <f>F516</f>
        <v>14304.8</v>
      </c>
    </row>
    <row r="516" spans="1:6" ht="12.75">
      <c r="A516" s="104" t="s">
        <v>42</v>
      </c>
      <c r="B516" s="104">
        <v>1220120010</v>
      </c>
      <c r="C516" s="104">
        <v>610</v>
      </c>
      <c r="D516" s="105" t="s">
        <v>101</v>
      </c>
      <c r="E516" s="17">
        <f>'№ 6 ведом'!F341</f>
        <v>14304.8</v>
      </c>
      <c r="F516" s="17">
        <f>'№ 6 ведом'!G341</f>
        <v>14304.8</v>
      </c>
    </row>
    <row r="517" spans="1:6" ht="47.25">
      <c r="A517" s="104" t="s">
        <v>42</v>
      </c>
      <c r="B517" s="104" t="s">
        <v>292</v>
      </c>
      <c r="C517" s="104"/>
      <c r="D517" s="59" t="s">
        <v>291</v>
      </c>
      <c r="E517" s="17">
        <f>E518</f>
        <v>96.5</v>
      </c>
      <c r="F517" s="17">
        <f>F518</f>
        <v>96.5</v>
      </c>
    </row>
    <row r="518" spans="1:6" ht="31.5">
      <c r="A518" s="104" t="s">
        <v>42</v>
      </c>
      <c r="B518" s="104" t="s">
        <v>292</v>
      </c>
      <c r="C518" s="106" t="s">
        <v>94</v>
      </c>
      <c r="D518" s="54" t="s">
        <v>95</v>
      </c>
      <c r="E518" s="17">
        <f>E519</f>
        <v>96.5</v>
      </c>
      <c r="F518" s="17">
        <f>F519</f>
        <v>96.5</v>
      </c>
    </row>
    <row r="519" spans="1:6" ht="12.75">
      <c r="A519" s="104" t="s">
        <v>42</v>
      </c>
      <c r="B519" s="104" t="s">
        <v>292</v>
      </c>
      <c r="C519" s="104">
        <v>610</v>
      </c>
      <c r="D519" s="54" t="s">
        <v>101</v>
      </c>
      <c r="E519" s="17">
        <f>'№ 6 ведом'!F344</f>
        <v>96.5</v>
      </c>
      <c r="F519" s="17">
        <f>'№ 6 ведом'!G344</f>
        <v>96.5</v>
      </c>
    </row>
    <row r="520" spans="1:6" ht="31.5">
      <c r="A520" s="104" t="s">
        <v>42</v>
      </c>
      <c r="B520" s="104">
        <v>1220500000</v>
      </c>
      <c r="C520" s="104"/>
      <c r="D520" s="48" t="s">
        <v>204</v>
      </c>
      <c r="E520" s="17">
        <f>E521</f>
        <v>2136.8</v>
      </c>
      <c r="F520" s="17">
        <f>F521</f>
        <v>2116.2000000000003</v>
      </c>
    </row>
    <row r="521" spans="1:6" ht="12.75">
      <c r="A521" s="104" t="s">
        <v>42</v>
      </c>
      <c r="B521" s="104">
        <v>1220520320</v>
      </c>
      <c r="C521" s="104"/>
      <c r="D521" s="48" t="s">
        <v>146</v>
      </c>
      <c r="E521" s="17">
        <f>E524+E522</f>
        <v>2136.8</v>
      </c>
      <c r="F521" s="17">
        <f>F524+F522</f>
        <v>2116.2000000000003</v>
      </c>
    </row>
    <row r="522" spans="1:6" ht="31.5">
      <c r="A522" s="104" t="s">
        <v>42</v>
      </c>
      <c r="B522" s="104">
        <v>1220520320</v>
      </c>
      <c r="C522" s="106" t="s">
        <v>69</v>
      </c>
      <c r="D522" s="105" t="s">
        <v>92</v>
      </c>
      <c r="E522" s="17">
        <f>E523</f>
        <v>24</v>
      </c>
      <c r="F522" s="17">
        <f>F523</f>
        <v>3.4</v>
      </c>
    </row>
    <row r="523" spans="1:6" ht="31.5">
      <c r="A523" s="104" t="s">
        <v>42</v>
      </c>
      <c r="B523" s="104">
        <v>1220520320</v>
      </c>
      <c r="C523" s="104">
        <v>240</v>
      </c>
      <c r="D523" s="105" t="s">
        <v>245</v>
      </c>
      <c r="E523" s="17">
        <f>'№ 6 ведом'!F348</f>
        <v>24</v>
      </c>
      <c r="F523" s="17">
        <f>'№ 6 ведом'!G348</f>
        <v>3.4</v>
      </c>
    </row>
    <row r="524" spans="1:6" ht="31.5">
      <c r="A524" s="104" t="s">
        <v>42</v>
      </c>
      <c r="B524" s="104">
        <v>1220520320</v>
      </c>
      <c r="C524" s="106" t="s">
        <v>94</v>
      </c>
      <c r="D524" s="105" t="s">
        <v>95</v>
      </c>
      <c r="E524" s="17">
        <f aca="true" t="shared" si="41" ref="E524:F524">E525</f>
        <v>2112.8</v>
      </c>
      <c r="F524" s="17">
        <f t="shared" si="41"/>
        <v>2112.8</v>
      </c>
    </row>
    <row r="525" spans="1:6" ht="12.75">
      <c r="A525" s="65" t="s">
        <v>42</v>
      </c>
      <c r="B525" s="65">
        <v>1220520320</v>
      </c>
      <c r="C525" s="65">
        <v>610</v>
      </c>
      <c r="D525" s="105" t="s">
        <v>101</v>
      </c>
      <c r="E525" s="17">
        <f>'№ 6 ведом'!F350</f>
        <v>2112.8</v>
      </c>
      <c r="F525" s="17">
        <f>'№ 6 ведом'!G350</f>
        <v>2112.8</v>
      </c>
    </row>
    <row r="526" spans="1:6" ht="63">
      <c r="A526" s="148" t="s">
        <v>42</v>
      </c>
      <c r="B526" s="148">
        <v>1220600000</v>
      </c>
      <c r="C526" s="148"/>
      <c r="D526" s="151" t="s">
        <v>399</v>
      </c>
      <c r="E526" s="17">
        <f aca="true" t="shared" si="42" ref="E526:F528">E527</f>
        <v>300</v>
      </c>
      <c r="F526" s="17">
        <f t="shared" si="42"/>
        <v>300</v>
      </c>
    </row>
    <row r="527" spans="1:6" ht="31.5">
      <c r="A527" s="148" t="s">
        <v>42</v>
      </c>
      <c r="B527" s="148">
        <v>1220620020</v>
      </c>
      <c r="C527" s="74"/>
      <c r="D527" s="129" t="s">
        <v>366</v>
      </c>
      <c r="E527" s="66">
        <f t="shared" si="42"/>
        <v>300</v>
      </c>
      <c r="F527" s="66">
        <f t="shared" si="42"/>
        <v>300</v>
      </c>
    </row>
    <row r="528" spans="1:6" ht="31.5">
      <c r="A528" s="148" t="s">
        <v>42</v>
      </c>
      <c r="B528" s="148">
        <v>1220620020</v>
      </c>
      <c r="C528" s="150" t="s">
        <v>94</v>
      </c>
      <c r="D528" s="152" t="s">
        <v>95</v>
      </c>
      <c r="E528" s="17">
        <f t="shared" si="42"/>
        <v>300</v>
      </c>
      <c r="F528" s="17">
        <f t="shared" si="42"/>
        <v>300</v>
      </c>
    </row>
    <row r="529" spans="1:6" ht="12.75">
      <c r="A529" s="148" t="s">
        <v>42</v>
      </c>
      <c r="B529" s="148">
        <v>1220620020</v>
      </c>
      <c r="C529" s="148">
        <v>610</v>
      </c>
      <c r="D529" s="54" t="s">
        <v>101</v>
      </c>
      <c r="E529" s="17">
        <f>'№ 6 ведом'!F354</f>
        <v>300</v>
      </c>
      <c r="F529" s="17">
        <f>'№ 6 ведом'!G354</f>
        <v>300</v>
      </c>
    </row>
    <row r="530" spans="1:6" ht="31.5">
      <c r="A530" s="104" t="s">
        <v>42</v>
      </c>
      <c r="B530" s="106">
        <v>1500000000</v>
      </c>
      <c r="C530" s="104"/>
      <c r="D530" s="105" t="s">
        <v>188</v>
      </c>
      <c r="E530" s="17">
        <f>E531</f>
        <v>1221.2</v>
      </c>
      <c r="F530" s="17">
        <f>F531</f>
        <v>1221.2</v>
      </c>
    </row>
    <row r="531" spans="1:6" ht="31.5">
      <c r="A531" s="104" t="s">
        <v>42</v>
      </c>
      <c r="B531" s="106">
        <v>1520000000</v>
      </c>
      <c r="C531" s="104"/>
      <c r="D531" s="105" t="s">
        <v>293</v>
      </c>
      <c r="E531" s="17">
        <f>E536+E532</f>
        <v>1221.2</v>
      </c>
      <c r="F531" s="17">
        <f>F536+F532</f>
        <v>1221.2</v>
      </c>
    </row>
    <row r="532" spans="1:6" ht="63">
      <c r="A532" s="104" t="s">
        <v>42</v>
      </c>
      <c r="B532" s="104">
        <v>1520100000</v>
      </c>
      <c r="C532" s="104"/>
      <c r="D532" s="54" t="s">
        <v>372</v>
      </c>
      <c r="E532" s="17">
        <f aca="true" t="shared" si="43" ref="E532:F534">E533</f>
        <v>690.2</v>
      </c>
      <c r="F532" s="17">
        <f t="shared" si="43"/>
        <v>690.2</v>
      </c>
    </row>
    <row r="533" spans="1:6" ht="31.5">
      <c r="A533" s="104" t="s">
        <v>42</v>
      </c>
      <c r="B533" s="10" t="s">
        <v>373</v>
      </c>
      <c r="C533" s="104"/>
      <c r="D533" s="54" t="s">
        <v>374</v>
      </c>
      <c r="E533" s="17">
        <f t="shared" si="43"/>
        <v>690.2</v>
      </c>
      <c r="F533" s="17">
        <f t="shared" si="43"/>
        <v>690.2</v>
      </c>
    </row>
    <row r="534" spans="1:6" ht="31.5">
      <c r="A534" s="104" t="s">
        <v>42</v>
      </c>
      <c r="B534" s="10" t="s">
        <v>373</v>
      </c>
      <c r="C534" s="106" t="s">
        <v>94</v>
      </c>
      <c r="D534" s="54" t="s">
        <v>95</v>
      </c>
      <c r="E534" s="17">
        <f t="shared" si="43"/>
        <v>690.2</v>
      </c>
      <c r="F534" s="17">
        <f t="shared" si="43"/>
        <v>690.2</v>
      </c>
    </row>
    <row r="535" spans="1:6" ht="12.75">
      <c r="A535" s="104" t="s">
        <v>42</v>
      </c>
      <c r="B535" s="10" t="s">
        <v>373</v>
      </c>
      <c r="C535" s="104">
        <v>610</v>
      </c>
      <c r="D535" s="54" t="s">
        <v>101</v>
      </c>
      <c r="E535" s="17">
        <f>'№ 6 ведом'!F360</f>
        <v>690.2</v>
      </c>
      <c r="F535" s="17">
        <f>'№ 6 ведом'!G360</f>
        <v>690.2</v>
      </c>
    </row>
    <row r="536" spans="1:6" ht="47.25">
      <c r="A536" s="104" t="s">
        <v>42</v>
      </c>
      <c r="B536" s="106">
        <v>1520300000</v>
      </c>
      <c r="C536" s="104"/>
      <c r="D536" s="105" t="s">
        <v>400</v>
      </c>
      <c r="E536" s="17">
        <f aca="true" t="shared" si="44" ref="E536:F538">E537</f>
        <v>531</v>
      </c>
      <c r="F536" s="17">
        <f t="shared" si="44"/>
        <v>531</v>
      </c>
    </row>
    <row r="537" spans="1:6" ht="12.75">
      <c r="A537" s="104" t="s">
        <v>42</v>
      </c>
      <c r="B537" s="106">
        <v>1520320200</v>
      </c>
      <c r="C537" s="104"/>
      <c r="D537" s="54" t="s">
        <v>347</v>
      </c>
      <c r="E537" s="17">
        <f t="shared" si="44"/>
        <v>531</v>
      </c>
      <c r="F537" s="17">
        <f t="shared" si="44"/>
        <v>531</v>
      </c>
    </row>
    <row r="538" spans="1:6" ht="31.5">
      <c r="A538" s="104" t="s">
        <v>42</v>
      </c>
      <c r="B538" s="106">
        <v>1520320200</v>
      </c>
      <c r="C538" s="106" t="s">
        <v>94</v>
      </c>
      <c r="D538" s="54" t="s">
        <v>95</v>
      </c>
      <c r="E538" s="17">
        <f t="shared" si="44"/>
        <v>531</v>
      </c>
      <c r="F538" s="17">
        <f t="shared" si="44"/>
        <v>531</v>
      </c>
    </row>
    <row r="539" spans="1:6" ht="12.75">
      <c r="A539" s="104" t="s">
        <v>42</v>
      </c>
      <c r="B539" s="106">
        <v>1520320200</v>
      </c>
      <c r="C539" s="104">
        <v>610</v>
      </c>
      <c r="D539" s="54" t="s">
        <v>101</v>
      </c>
      <c r="E539" s="17">
        <f>'№ 6 ведом'!F364</f>
        <v>531</v>
      </c>
      <c r="F539" s="17">
        <f>'№ 6 ведом'!G364</f>
        <v>531</v>
      </c>
    </row>
    <row r="540" spans="1:6" ht="12.75">
      <c r="A540" s="116" t="s">
        <v>42</v>
      </c>
      <c r="B540" s="116">
        <v>9900000000</v>
      </c>
      <c r="C540" s="116"/>
      <c r="D540" s="54" t="s">
        <v>102</v>
      </c>
      <c r="E540" s="17">
        <f aca="true" t="shared" si="45" ref="E540:F543">E541</f>
        <v>260</v>
      </c>
      <c r="F540" s="17">
        <f t="shared" si="45"/>
        <v>260</v>
      </c>
    </row>
    <row r="541" spans="1:6" ht="47.25">
      <c r="A541" s="116" t="s">
        <v>42</v>
      </c>
      <c r="B541" s="116">
        <v>9920000000</v>
      </c>
      <c r="C541" s="116"/>
      <c r="D541" s="54" t="s">
        <v>377</v>
      </c>
      <c r="E541" s="17">
        <f t="shared" si="45"/>
        <v>260</v>
      </c>
      <c r="F541" s="17">
        <f t="shared" si="45"/>
        <v>260</v>
      </c>
    </row>
    <row r="542" spans="1:6" ht="47.25">
      <c r="A542" s="116" t="s">
        <v>42</v>
      </c>
      <c r="B542" s="116">
        <v>9920010920</v>
      </c>
      <c r="C542" s="116"/>
      <c r="D542" s="54" t="s">
        <v>378</v>
      </c>
      <c r="E542" s="17">
        <f t="shared" si="45"/>
        <v>260</v>
      </c>
      <c r="F542" s="17">
        <f t="shared" si="45"/>
        <v>260</v>
      </c>
    </row>
    <row r="543" spans="1:6" ht="31.5">
      <c r="A543" s="116" t="s">
        <v>42</v>
      </c>
      <c r="B543" s="116">
        <v>9920010920</v>
      </c>
      <c r="C543" s="116" t="s">
        <v>94</v>
      </c>
      <c r="D543" s="54" t="s">
        <v>95</v>
      </c>
      <c r="E543" s="17">
        <f t="shared" si="45"/>
        <v>260</v>
      </c>
      <c r="F543" s="17">
        <f t="shared" si="45"/>
        <v>260</v>
      </c>
    </row>
    <row r="544" spans="1:6" ht="12.75">
      <c r="A544" s="116" t="s">
        <v>42</v>
      </c>
      <c r="B544" s="116">
        <v>9920010920</v>
      </c>
      <c r="C544" s="116">
        <v>610</v>
      </c>
      <c r="D544" s="54" t="s">
        <v>101</v>
      </c>
      <c r="E544" s="17">
        <f>'№ 6 ведом'!F369</f>
        <v>260</v>
      </c>
      <c r="F544" s="17">
        <f>'№ 6 ведом'!G369</f>
        <v>260</v>
      </c>
    </row>
    <row r="545" spans="1:6" ht="12.75">
      <c r="A545" s="16" t="s">
        <v>39</v>
      </c>
      <c r="B545" s="16" t="s">
        <v>66</v>
      </c>
      <c r="C545" s="16" t="s">
        <v>66</v>
      </c>
      <c r="D545" s="19" t="s">
        <v>31</v>
      </c>
      <c r="E545" s="58">
        <f>E546+E553+E570</f>
        <v>24353.100000000002</v>
      </c>
      <c r="F545" s="58">
        <f>F546+F553+F570</f>
        <v>18686.199999999997</v>
      </c>
    </row>
    <row r="546" spans="1:6" ht="12.75">
      <c r="A546" s="104">
        <v>1001</v>
      </c>
      <c r="B546" s="16"/>
      <c r="C546" s="16"/>
      <c r="D546" s="48" t="s">
        <v>32</v>
      </c>
      <c r="E546" s="17">
        <f>'№ 6 ведом'!F371</f>
        <v>798.0999999999999</v>
      </c>
      <c r="F546" s="17">
        <f>'№ 6 ведом'!G371</f>
        <v>798.1</v>
      </c>
    </row>
    <row r="547" spans="1:6" ht="47.25">
      <c r="A547" s="104" t="s">
        <v>53</v>
      </c>
      <c r="B547" s="106">
        <v>1200000000</v>
      </c>
      <c r="C547" s="104" t="s">
        <v>66</v>
      </c>
      <c r="D547" s="48" t="s">
        <v>187</v>
      </c>
      <c r="E547" s="17">
        <f aca="true" t="shared" si="46" ref="E547:F547">E548</f>
        <v>798.0999999999999</v>
      </c>
      <c r="F547" s="17">
        <f t="shared" si="46"/>
        <v>798.1</v>
      </c>
    </row>
    <row r="548" spans="1:6" ht="31.5">
      <c r="A548" s="104" t="s">
        <v>53</v>
      </c>
      <c r="B548" s="106">
        <v>1240000000</v>
      </c>
      <c r="C548" s="104"/>
      <c r="D548" s="48" t="s">
        <v>133</v>
      </c>
      <c r="E548" s="17">
        <f>'№ 6 ведом'!F373</f>
        <v>798.0999999999999</v>
      </c>
      <c r="F548" s="17">
        <f>'№ 6 ведом'!G373</f>
        <v>798.1</v>
      </c>
    </row>
    <row r="549" spans="1:6" ht="12.75">
      <c r="A549" s="104" t="s">
        <v>53</v>
      </c>
      <c r="B549" s="104">
        <v>1240400000</v>
      </c>
      <c r="C549" s="104"/>
      <c r="D549" s="48" t="s">
        <v>205</v>
      </c>
      <c r="E549" s="17">
        <f aca="true" t="shared" si="47" ref="E549:F549">E550</f>
        <v>798.0999999999999</v>
      </c>
      <c r="F549" s="17">
        <f t="shared" si="47"/>
        <v>798.1</v>
      </c>
    </row>
    <row r="550" spans="1:6" ht="47.25">
      <c r="A550" s="104" t="s">
        <v>53</v>
      </c>
      <c r="B550" s="104">
        <v>1240420390</v>
      </c>
      <c r="C550" s="104"/>
      <c r="D550" s="48" t="s">
        <v>67</v>
      </c>
      <c r="E550" s="17">
        <f>'№ 6 ведом'!F375</f>
        <v>798.0999999999999</v>
      </c>
      <c r="F550" s="17">
        <f>'№ 6 ведом'!G375</f>
        <v>798.1</v>
      </c>
    </row>
    <row r="551" spans="1:6" ht="12.75">
      <c r="A551" s="104" t="s">
        <v>53</v>
      </c>
      <c r="B551" s="104">
        <v>1240420390</v>
      </c>
      <c r="C551" s="106" t="s">
        <v>73</v>
      </c>
      <c r="D551" s="105" t="s">
        <v>74</v>
      </c>
      <c r="E551" s="17">
        <f aca="true" t="shared" si="48" ref="E551:F551">E552</f>
        <v>798.0999999999999</v>
      </c>
      <c r="F551" s="17">
        <f t="shared" si="48"/>
        <v>798.1</v>
      </c>
    </row>
    <row r="552" spans="1:6" ht="12.75">
      <c r="A552" s="104" t="s">
        <v>53</v>
      </c>
      <c r="B552" s="104">
        <v>1240420390</v>
      </c>
      <c r="C552" s="106" t="s">
        <v>147</v>
      </c>
      <c r="D552" s="105" t="s">
        <v>148</v>
      </c>
      <c r="E552" s="17">
        <f>'№ 6 ведом'!F377</f>
        <v>798.0999999999999</v>
      </c>
      <c r="F552" s="17">
        <f>'№ 6 ведом'!G377</f>
        <v>798.1</v>
      </c>
    </row>
    <row r="553" spans="1:6" ht="12.75">
      <c r="A553" s="104" t="s">
        <v>40</v>
      </c>
      <c r="B553" s="104" t="s">
        <v>66</v>
      </c>
      <c r="C553" s="104" t="s">
        <v>66</v>
      </c>
      <c r="D553" s="105" t="s">
        <v>34</v>
      </c>
      <c r="E553" s="17">
        <f aca="true" t="shared" si="49" ref="E553:F554">E554</f>
        <v>607.1</v>
      </c>
      <c r="F553" s="17">
        <f t="shared" si="49"/>
        <v>492</v>
      </c>
    </row>
    <row r="554" spans="1:6" ht="47.25">
      <c r="A554" s="104" t="s">
        <v>40</v>
      </c>
      <c r="B554" s="106">
        <v>1200000000</v>
      </c>
      <c r="C554" s="104" t="s">
        <v>66</v>
      </c>
      <c r="D554" s="48" t="s">
        <v>187</v>
      </c>
      <c r="E554" s="17">
        <f t="shared" si="49"/>
        <v>607.1</v>
      </c>
      <c r="F554" s="17">
        <f t="shared" si="49"/>
        <v>492</v>
      </c>
    </row>
    <row r="555" spans="1:6" ht="31.5">
      <c r="A555" s="104" t="s">
        <v>40</v>
      </c>
      <c r="B555" s="106">
        <v>1240000000</v>
      </c>
      <c r="C555" s="104"/>
      <c r="D555" s="48" t="s">
        <v>133</v>
      </c>
      <c r="E555" s="17">
        <f>E556+E560+E566</f>
        <v>607.1</v>
      </c>
      <c r="F555" s="17">
        <f>F556+F560+F566</f>
        <v>492</v>
      </c>
    </row>
    <row r="556" spans="1:6" ht="31.5">
      <c r="A556" s="104" t="s">
        <v>40</v>
      </c>
      <c r="B556" s="106">
        <v>1240100000</v>
      </c>
      <c r="C556" s="104"/>
      <c r="D556" s="48" t="s">
        <v>206</v>
      </c>
      <c r="E556" s="17">
        <f>'№ 6 ведом'!F381</f>
        <v>400</v>
      </c>
      <c r="F556" s="17">
        <f>'№ 6 ведом'!G381</f>
        <v>350</v>
      </c>
    </row>
    <row r="557" spans="1:6" ht="31.5">
      <c r="A557" s="104" t="s">
        <v>40</v>
      </c>
      <c r="B557" s="106">
        <v>1240120330</v>
      </c>
      <c r="C557" s="104"/>
      <c r="D557" s="48" t="s">
        <v>150</v>
      </c>
      <c r="E557" s="17">
        <f aca="true" t="shared" si="50" ref="E557:F557">E558</f>
        <v>400</v>
      </c>
      <c r="F557" s="17">
        <f t="shared" si="50"/>
        <v>350</v>
      </c>
    </row>
    <row r="558" spans="1:6" ht="31.5">
      <c r="A558" s="104" t="s">
        <v>40</v>
      </c>
      <c r="B558" s="106">
        <v>1240120330</v>
      </c>
      <c r="C558" s="106" t="s">
        <v>94</v>
      </c>
      <c r="D558" s="105" t="s">
        <v>95</v>
      </c>
      <c r="E558" s="17">
        <f>E559</f>
        <v>400</v>
      </c>
      <c r="F558" s="17">
        <f>F559</f>
        <v>350</v>
      </c>
    </row>
    <row r="559" spans="1:6" ht="31.5">
      <c r="A559" s="104" t="s">
        <v>40</v>
      </c>
      <c r="B559" s="106">
        <v>1240120330</v>
      </c>
      <c r="C559" s="104">
        <v>630</v>
      </c>
      <c r="D559" s="48" t="s">
        <v>151</v>
      </c>
      <c r="E559" s="17">
        <f>'№ 6 ведом'!F384</f>
        <v>400</v>
      </c>
      <c r="F559" s="17">
        <f>'№ 6 ведом'!G384</f>
        <v>350</v>
      </c>
    </row>
    <row r="560" spans="1:6" ht="31.5">
      <c r="A560" s="104" t="s">
        <v>40</v>
      </c>
      <c r="B560" s="106">
        <v>1240200000</v>
      </c>
      <c r="C560" s="3"/>
      <c r="D560" s="48" t="s">
        <v>152</v>
      </c>
      <c r="E560" s="17">
        <f aca="true" t="shared" si="51" ref="E560:F560">E561</f>
        <v>107.1</v>
      </c>
      <c r="F560" s="17">
        <f t="shared" si="51"/>
        <v>72</v>
      </c>
    </row>
    <row r="561" spans="1:6" ht="31.5">
      <c r="A561" s="104" t="s">
        <v>40</v>
      </c>
      <c r="B561" s="106">
        <v>1240220350</v>
      </c>
      <c r="C561" s="104"/>
      <c r="D561" s="48" t="s">
        <v>207</v>
      </c>
      <c r="E561" s="17">
        <f aca="true" t="shared" si="52" ref="E561">E562+E564</f>
        <v>107.1</v>
      </c>
      <c r="F561" s="17">
        <f aca="true" t="shared" si="53" ref="F561">F562+F564</f>
        <v>72</v>
      </c>
    </row>
    <row r="562" spans="1:6" ht="31.5">
      <c r="A562" s="104" t="s">
        <v>40</v>
      </c>
      <c r="B562" s="106">
        <v>1240220350</v>
      </c>
      <c r="C562" s="106" t="s">
        <v>69</v>
      </c>
      <c r="D562" s="105" t="s">
        <v>92</v>
      </c>
      <c r="E562" s="17">
        <f aca="true" t="shared" si="54" ref="E562:F562">E563</f>
        <v>3.1</v>
      </c>
      <c r="F562" s="17">
        <f t="shared" si="54"/>
        <v>0</v>
      </c>
    </row>
    <row r="563" spans="1:6" ht="31.5">
      <c r="A563" s="104" t="s">
        <v>40</v>
      </c>
      <c r="B563" s="106">
        <v>1240220350</v>
      </c>
      <c r="C563" s="104">
        <v>240</v>
      </c>
      <c r="D563" s="48" t="s">
        <v>245</v>
      </c>
      <c r="E563" s="17">
        <f>'№ 6 ведом'!F388</f>
        <v>3.1</v>
      </c>
      <c r="F563" s="17">
        <f>'№ 6 ведом'!G388</f>
        <v>0</v>
      </c>
    </row>
    <row r="564" spans="1:6" ht="12.75">
      <c r="A564" s="104" t="s">
        <v>40</v>
      </c>
      <c r="B564" s="106">
        <v>1240220350</v>
      </c>
      <c r="C564" s="104" t="s">
        <v>73</v>
      </c>
      <c r="D564" s="48" t="s">
        <v>74</v>
      </c>
      <c r="E564" s="17">
        <f aca="true" t="shared" si="55" ref="E564:F564">E565</f>
        <v>104</v>
      </c>
      <c r="F564" s="17">
        <f t="shared" si="55"/>
        <v>72</v>
      </c>
    </row>
    <row r="565" spans="1:6" ht="12.75">
      <c r="A565" s="104" t="s">
        <v>40</v>
      </c>
      <c r="B565" s="106">
        <v>1240220350</v>
      </c>
      <c r="C565" s="104" t="s">
        <v>147</v>
      </c>
      <c r="D565" s="48" t="s">
        <v>148</v>
      </c>
      <c r="E565" s="17">
        <f>'№ 6 ведом'!F390</f>
        <v>104</v>
      </c>
      <c r="F565" s="17">
        <f>'№ 6 ведом'!G390</f>
        <v>72</v>
      </c>
    </row>
    <row r="566" spans="1:6" ht="12.75">
      <c r="A566" s="104" t="s">
        <v>40</v>
      </c>
      <c r="B566" s="104">
        <v>1240400000</v>
      </c>
      <c r="C566" s="3"/>
      <c r="D566" s="48" t="s">
        <v>205</v>
      </c>
      <c r="E566" s="17">
        <f aca="true" t="shared" si="56" ref="E566:F566">E567</f>
        <v>100</v>
      </c>
      <c r="F566" s="17">
        <f t="shared" si="56"/>
        <v>70</v>
      </c>
    </row>
    <row r="567" spans="1:6" ht="31.5">
      <c r="A567" s="104" t="s">
        <v>40</v>
      </c>
      <c r="B567" s="104">
        <v>1240420380</v>
      </c>
      <c r="C567" s="104"/>
      <c r="D567" s="48" t="s">
        <v>149</v>
      </c>
      <c r="E567" s="17">
        <f aca="true" t="shared" si="57" ref="E567:F567">E568</f>
        <v>100</v>
      </c>
      <c r="F567" s="17">
        <f t="shared" si="57"/>
        <v>70</v>
      </c>
    </row>
    <row r="568" spans="1:6" ht="12.75">
      <c r="A568" s="104" t="s">
        <v>40</v>
      </c>
      <c r="B568" s="104">
        <v>1240420380</v>
      </c>
      <c r="C568" s="106" t="s">
        <v>73</v>
      </c>
      <c r="D568" s="105" t="s">
        <v>74</v>
      </c>
      <c r="E568" s="17">
        <f aca="true" t="shared" si="58" ref="E568:F568">E569</f>
        <v>100</v>
      </c>
      <c r="F568" s="17">
        <f t="shared" si="58"/>
        <v>70</v>
      </c>
    </row>
    <row r="569" spans="1:6" ht="31.5">
      <c r="A569" s="104" t="s">
        <v>40</v>
      </c>
      <c r="B569" s="104">
        <v>1240420380</v>
      </c>
      <c r="C569" s="106" t="s">
        <v>98</v>
      </c>
      <c r="D569" s="105" t="s">
        <v>99</v>
      </c>
      <c r="E569" s="17">
        <f>'№ 6 ведом'!F394</f>
        <v>100</v>
      </c>
      <c r="F569" s="17">
        <f>'№ 6 ведом'!G394</f>
        <v>70</v>
      </c>
    </row>
    <row r="570" spans="1:6" ht="12.75">
      <c r="A570" s="104">
        <v>1004</v>
      </c>
      <c r="B570" s="67"/>
      <c r="C570" s="67"/>
      <c r="D570" s="48" t="s">
        <v>85</v>
      </c>
      <c r="E570" s="66">
        <f>E571+E585+E579</f>
        <v>22947.9</v>
      </c>
      <c r="F570" s="66">
        <f>F571+F585+F579</f>
        <v>17396.1</v>
      </c>
    </row>
    <row r="571" spans="1:6" ht="47.25">
      <c r="A571" s="104" t="s">
        <v>84</v>
      </c>
      <c r="B571" s="106">
        <v>1100000000</v>
      </c>
      <c r="C571" s="104"/>
      <c r="D571" s="105" t="s">
        <v>192</v>
      </c>
      <c r="E571" s="17">
        <f aca="true" t="shared" si="59" ref="E571:F571">E572</f>
        <v>9685.800000000001</v>
      </c>
      <c r="F571" s="17">
        <f t="shared" si="59"/>
        <v>8049.1</v>
      </c>
    </row>
    <row r="572" spans="1:6" ht="12.75">
      <c r="A572" s="104" t="s">
        <v>84</v>
      </c>
      <c r="B572" s="104">
        <v>1110000000</v>
      </c>
      <c r="C572" s="104"/>
      <c r="D572" s="105" t="s">
        <v>175</v>
      </c>
      <c r="E572" s="17">
        <f aca="true" t="shared" si="60" ref="E572:F572">E573</f>
        <v>9685.800000000001</v>
      </c>
      <c r="F572" s="17">
        <f t="shared" si="60"/>
        <v>8049.1</v>
      </c>
    </row>
    <row r="573" spans="1:6" ht="47.25">
      <c r="A573" s="104" t="s">
        <v>84</v>
      </c>
      <c r="B573" s="104">
        <v>1110200000</v>
      </c>
      <c r="C573" s="104"/>
      <c r="D573" s="105" t="s">
        <v>186</v>
      </c>
      <c r="E573" s="17">
        <f aca="true" t="shared" si="61" ref="E573:F573">E574</f>
        <v>9685.800000000001</v>
      </c>
      <c r="F573" s="17">
        <f t="shared" si="61"/>
        <v>8049.1</v>
      </c>
    </row>
    <row r="574" spans="1:6" ht="78.75">
      <c r="A574" s="104" t="s">
        <v>84</v>
      </c>
      <c r="B574" s="104">
        <v>1110210500</v>
      </c>
      <c r="C574" s="104"/>
      <c r="D574" s="105" t="s">
        <v>238</v>
      </c>
      <c r="E574" s="17">
        <f aca="true" t="shared" si="62" ref="E574">E575+E577</f>
        <v>9685.800000000001</v>
      </c>
      <c r="F574" s="17">
        <f aca="true" t="shared" si="63" ref="F574">F575+F577</f>
        <v>8049.1</v>
      </c>
    </row>
    <row r="575" spans="1:6" ht="31.5">
      <c r="A575" s="104" t="s">
        <v>84</v>
      </c>
      <c r="B575" s="104">
        <v>1110210500</v>
      </c>
      <c r="C575" s="104" t="s">
        <v>69</v>
      </c>
      <c r="D575" s="105" t="s">
        <v>92</v>
      </c>
      <c r="E575" s="17">
        <f aca="true" t="shared" si="64" ref="E575:F575">E576</f>
        <v>236.2</v>
      </c>
      <c r="F575" s="17">
        <f t="shared" si="64"/>
        <v>186.5</v>
      </c>
    </row>
    <row r="576" spans="1:6" ht="31.5">
      <c r="A576" s="104" t="s">
        <v>84</v>
      </c>
      <c r="B576" s="104">
        <v>1110210500</v>
      </c>
      <c r="C576" s="104">
        <v>240</v>
      </c>
      <c r="D576" s="105" t="s">
        <v>245</v>
      </c>
      <c r="E576" s="17">
        <f>'№ 6 ведом'!F708</f>
        <v>236.2</v>
      </c>
      <c r="F576" s="17">
        <f>'№ 6 ведом'!G708</f>
        <v>186.5</v>
      </c>
    </row>
    <row r="577" spans="1:6" ht="12.75">
      <c r="A577" s="104" t="s">
        <v>84</v>
      </c>
      <c r="B577" s="104">
        <v>1110210500</v>
      </c>
      <c r="C577" s="104" t="s">
        <v>73</v>
      </c>
      <c r="D577" s="105" t="s">
        <v>74</v>
      </c>
      <c r="E577" s="17">
        <f aca="true" t="shared" si="65" ref="E577:F577">E578</f>
        <v>9449.6</v>
      </c>
      <c r="F577" s="17">
        <f t="shared" si="65"/>
        <v>7862.6</v>
      </c>
    </row>
    <row r="578" spans="1:6" ht="31.5">
      <c r="A578" s="104" t="s">
        <v>84</v>
      </c>
      <c r="B578" s="104">
        <v>1110210500</v>
      </c>
      <c r="C578" s="1" t="s">
        <v>98</v>
      </c>
      <c r="D578" s="46" t="s">
        <v>99</v>
      </c>
      <c r="E578" s="17">
        <f>'№ 6 ведом'!F710</f>
        <v>9449.6</v>
      </c>
      <c r="F578" s="17">
        <f>'№ 6 ведом'!G710</f>
        <v>7862.6</v>
      </c>
    </row>
    <row r="579" spans="1:6" ht="47.25">
      <c r="A579" s="104">
        <v>1004</v>
      </c>
      <c r="B579" s="106">
        <v>1200000000</v>
      </c>
      <c r="C579" s="104"/>
      <c r="D579" s="105" t="s">
        <v>187</v>
      </c>
      <c r="E579" s="17">
        <f aca="true" t="shared" si="66" ref="E579:F579">E580</f>
        <v>8368.2</v>
      </c>
      <c r="F579" s="17">
        <f t="shared" si="66"/>
        <v>8368.2</v>
      </c>
    </row>
    <row r="580" spans="1:6" ht="31.5">
      <c r="A580" s="104">
        <v>1004</v>
      </c>
      <c r="B580" s="106">
        <v>1240000000</v>
      </c>
      <c r="C580" s="104"/>
      <c r="D580" s="105" t="s">
        <v>133</v>
      </c>
      <c r="E580" s="17">
        <f aca="true" t="shared" si="67" ref="E580:F582">E581</f>
        <v>8368.2</v>
      </c>
      <c r="F580" s="17">
        <f t="shared" si="67"/>
        <v>8368.2</v>
      </c>
    </row>
    <row r="581" spans="1:6" ht="12.75">
      <c r="A581" s="104">
        <v>1004</v>
      </c>
      <c r="B581" s="104">
        <v>1240400000</v>
      </c>
      <c r="C581" s="104"/>
      <c r="D581" s="105" t="s">
        <v>205</v>
      </c>
      <c r="E581" s="17">
        <f aca="true" t="shared" si="68" ref="E581:F581">E582</f>
        <v>8368.2</v>
      </c>
      <c r="F581" s="17">
        <f t="shared" si="68"/>
        <v>8368.2</v>
      </c>
    </row>
    <row r="582" spans="1:6" ht="31.5">
      <c r="A582" s="104" t="s">
        <v>84</v>
      </c>
      <c r="B582" s="104" t="s">
        <v>244</v>
      </c>
      <c r="C582" s="104"/>
      <c r="D582" s="105" t="s">
        <v>243</v>
      </c>
      <c r="E582" s="17">
        <f t="shared" si="67"/>
        <v>8368.2</v>
      </c>
      <c r="F582" s="17">
        <f t="shared" si="67"/>
        <v>8368.2</v>
      </c>
    </row>
    <row r="583" spans="1:6" ht="12.75">
      <c r="A583" s="104">
        <v>1004</v>
      </c>
      <c r="B583" s="104" t="s">
        <v>244</v>
      </c>
      <c r="C583" s="1" t="s">
        <v>73</v>
      </c>
      <c r="D583" s="46" t="s">
        <v>74</v>
      </c>
      <c r="E583" s="17">
        <f aca="true" t="shared" si="69" ref="E583:F583">E584</f>
        <v>8368.2</v>
      </c>
      <c r="F583" s="17">
        <f t="shared" si="69"/>
        <v>8368.2</v>
      </c>
    </row>
    <row r="584" spans="1:6" ht="31.5">
      <c r="A584" s="104">
        <v>1004</v>
      </c>
      <c r="B584" s="104" t="s">
        <v>244</v>
      </c>
      <c r="C584" s="1" t="s">
        <v>98</v>
      </c>
      <c r="D584" s="46" t="s">
        <v>99</v>
      </c>
      <c r="E584" s="17">
        <f>'№ 6 ведом'!F401</f>
        <v>8368.2</v>
      </c>
      <c r="F584" s="17">
        <f>'№ 6 ведом'!G401</f>
        <v>8368.2</v>
      </c>
    </row>
    <row r="585" spans="1:6" ht="47.25">
      <c r="A585" s="106" t="s">
        <v>84</v>
      </c>
      <c r="B585" s="106">
        <v>1600000000</v>
      </c>
      <c r="C585" s="106"/>
      <c r="D585" s="105" t="s">
        <v>111</v>
      </c>
      <c r="E585" s="17">
        <f aca="true" t="shared" si="70" ref="E585:F585">E586</f>
        <v>4893.9</v>
      </c>
      <c r="F585" s="17">
        <f t="shared" si="70"/>
        <v>978.8</v>
      </c>
    </row>
    <row r="586" spans="1:6" ht="31.5">
      <c r="A586" s="106" t="s">
        <v>84</v>
      </c>
      <c r="B586" s="106">
        <v>1620000000</v>
      </c>
      <c r="C586" s="106"/>
      <c r="D586" s="105" t="s">
        <v>104</v>
      </c>
      <c r="E586" s="17">
        <f aca="true" t="shared" si="71" ref="E586:F586">E587</f>
        <v>4893.9</v>
      </c>
      <c r="F586" s="17">
        <f t="shared" si="71"/>
        <v>978.8</v>
      </c>
    </row>
    <row r="587" spans="1:6" ht="31.5">
      <c r="A587" s="106" t="s">
        <v>84</v>
      </c>
      <c r="B587" s="106">
        <v>1620200000</v>
      </c>
      <c r="C587" s="106"/>
      <c r="D587" s="105" t="s">
        <v>109</v>
      </c>
      <c r="E587" s="17">
        <f aca="true" t="shared" si="72" ref="E587">E588+E591</f>
        <v>4893.9</v>
      </c>
      <c r="F587" s="17">
        <f aca="true" t="shared" si="73" ref="F587">F588+F591</f>
        <v>978.8</v>
      </c>
    </row>
    <row r="588" spans="1:6" ht="63">
      <c r="A588" s="106" t="s">
        <v>84</v>
      </c>
      <c r="B588" s="106">
        <v>1620210820</v>
      </c>
      <c r="C588" s="106"/>
      <c r="D588" s="105" t="s">
        <v>240</v>
      </c>
      <c r="E588" s="17">
        <f aca="true" t="shared" si="74" ref="E588:F588">E589</f>
        <v>1957.6</v>
      </c>
      <c r="F588" s="17">
        <f t="shared" si="74"/>
        <v>0</v>
      </c>
    </row>
    <row r="589" spans="1:6" ht="31.5">
      <c r="A589" s="106" t="s">
        <v>84</v>
      </c>
      <c r="B589" s="106">
        <v>1620210820</v>
      </c>
      <c r="C589" s="106" t="s">
        <v>72</v>
      </c>
      <c r="D589" s="105" t="s">
        <v>93</v>
      </c>
      <c r="E589" s="17">
        <f aca="true" t="shared" si="75" ref="E589:F589">E590</f>
        <v>1957.6</v>
      </c>
      <c r="F589" s="17">
        <f t="shared" si="75"/>
        <v>0</v>
      </c>
    </row>
    <row r="590" spans="1:6" ht="12.75">
      <c r="A590" s="106" t="s">
        <v>84</v>
      </c>
      <c r="B590" s="106">
        <v>1620210820</v>
      </c>
      <c r="C590" s="106" t="s">
        <v>117</v>
      </c>
      <c r="D590" s="105" t="s">
        <v>118</v>
      </c>
      <c r="E590" s="17">
        <f>'№ 6 ведом'!F543</f>
        <v>1957.6</v>
      </c>
      <c r="F590" s="17">
        <f>'№ 6 ведом'!G543</f>
        <v>0</v>
      </c>
    </row>
    <row r="591" spans="1:6" ht="47.25">
      <c r="A591" s="106" t="s">
        <v>84</v>
      </c>
      <c r="B591" s="106" t="s">
        <v>263</v>
      </c>
      <c r="C591" s="106"/>
      <c r="D591" s="54" t="s">
        <v>264</v>
      </c>
      <c r="E591" s="17">
        <f aca="true" t="shared" si="76" ref="E591:F591">E592</f>
        <v>2936.3</v>
      </c>
      <c r="F591" s="17">
        <f t="shared" si="76"/>
        <v>978.8</v>
      </c>
    </row>
    <row r="592" spans="1:6" ht="31.5">
      <c r="A592" s="106" t="s">
        <v>84</v>
      </c>
      <c r="B592" s="106" t="s">
        <v>263</v>
      </c>
      <c r="C592" s="106" t="s">
        <v>72</v>
      </c>
      <c r="D592" s="54" t="s">
        <v>93</v>
      </c>
      <c r="E592" s="17">
        <f aca="true" t="shared" si="77" ref="E592:F592">E593</f>
        <v>2936.3</v>
      </c>
      <c r="F592" s="17">
        <f t="shared" si="77"/>
        <v>978.8</v>
      </c>
    </row>
    <row r="593" spans="1:6" ht="12.75">
      <c r="A593" s="106" t="s">
        <v>84</v>
      </c>
      <c r="B593" s="106" t="s">
        <v>263</v>
      </c>
      <c r="C593" s="106" t="s">
        <v>117</v>
      </c>
      <c r="D593" s="54" t="s">
        <v>118</v>
      </c>
      <c r="E593" s="17">
        <f>'№ 6 ведом'!F546</f>
        <v>2936.3</v>
      </c>
      <c r="F593" s="17">
        <f>'№ 6 ведом'!G546</f>
        <v>978.8</v>
      </c>
    </row>
    <row r="594" spans="1:6" ht="12.75">
      <c r="A594" s="4" t="s">
        <v>61</v>
      </c>
      <c r="B594" s="4" t="s">
        <v>66</v>
      </c>
      <c r="C594" s="4" t="s">
        <v>66</v>
      </c>
      <c r="D594" s="19" t="s">
        <v>30</v>
      </c>
      <c r="E594" s="6">
        <f>E595+E621</f>
        <v>30197.800000000003</v>
      </c>
      <c r="F594" s="6">
        <f>F595+F621</f>
        <v>30195.300000000003</v>
      </c>
    </row>
    <row r="595" spans="1:6" ht="12.75">
      <c r="A595" s="104" t="s">
        <v>86</v>
      </c>
      <c r="B595" s="104" t="s">
        <v>66</v>
      </c>
      <c r="C595" s="104" t="s">
        <v>66</v>
      </c>
      <c r="D595" s="105" t="s">
        <v>62</v>
      </c>
      <c r="E595" s="17">
        <f aca="true" t="shared" si="78" ref="E595:F595">E596</f>
        <v>13120.900000000001</v>
      </c>
      <c r="F595" s="17">
        <f t="shared" si="78"/>
        <v>13118.400000000001</v>
      </c>
    </row>
    <row r="596" spans="1:6" ht="47.25">
      <c r="A596" s="104" t="s">
        <v>86</v>
      </c>
      <c r="B596" s="106">
        <v>1200000000</v>
      </c>
      <c r="C596" s="104"/>
      <c r="D596" s="105" t="s">
        <v>187</v>
      </c>
      <c r="E596" s="17">
        <f>E597</f>
        <v>13120.900000000001</v>
      </c>
      <c r="F596" s="17">
        <f>F597</f>
        <v>13118.400000000001</v>
      </c>
    </row>
    <row r="597" spans="1:6" ht="12.75">
      <c r="A597" s="104" t="s">
        <v>86</v>
      </c>
      <c r="B597" s="104">
        <v>1230000000</v>
      </c>
      <c r="C597" s="104"/>
      <c r="D597" s="105" t="s">
        <v>209</v>
      </c>
      <c r="E597" s="17">
        <f>E598+E602+E606</f>
        <v>13120.900000000001</v>
      </c>
      <c r="F597" s="17">
        <f>F598+F602+F606</f>
        <v>13118.400000000001</v>
      </c>
    </row>
    <row r="598" spans="1:6" ht="47.25">
      <c r="A598" s="104" t="s">
        <v>86</v>
      </c>
      <c r="B598" s="104">
        <v>1230100000</v>
      </c>
      <c r="C598" s="104"/>
      <c r="D598" s="105" t="s">
        <v>210</v>
      </c>
      <c r="E598" s="17">
        <f aca="true" t="shared" si="79" ref="E598:F600">E599</f>
        <v>11839.6</v>
      </c>
      <c r="F598" s="17">
        <f t="shared" si="79"/>
        <v>11839.6</v>
      </c>
    </row>
    <row r="599" spans="1:6" ht="31.5">
      <c r="A599" s="2" t="s">
        <v>86</v>
      </c>
      <c r="B599" s="104">
        <v>1230120010</v>
      </c>
      <c r="C599" s="104"/>
      <c r="D599" s="105" t="s">
        <v>121</v>
      </c>
      <c r="E599" s="17">
        <f t="shared" si="79"/>
        <v>11839.6</v>
      </c>
      <c r="F599" s="17">
        <f t="shared" si="79"/>
        <v>11839.6</v>
      </c>
    </row>
    <row r="600" spans="1:6" ht="31.5">
      <c r="A600" s="2" t="s">
        <v>86</v>
      </c>
      <c r="B600" s="104">
        <v>1230120010</v>
      </c>
      <c r="C600" s="106" t="s">
        <v>94</v>
      </c>
      <c r="D600" s="105" t="s">
        <v>95</v>
      </c>
      <c r="E600" s="17">
        <f t="shared" si="79"/>
        <v>11839.6</v>
      </c>
      <c r="F600" s="17">
        <f t="shared" si="79"/>
        <v>11839.6</v>
      </c>
    </row>
    <row r="601" spans="1:6" ht="12.75">
      <c r="A601" s="104" t="s">
        <v>86</v>
      </c>
      <c r="B601" s="104">
        <v>1230120010</v>
      </c>
      <c r="C601" s="104">
        <v>610</v>
      </c>
      <c r="D601" s="105" t="s">
        <v>101</v>
      </c>
      <c r="E601" s="17">
        <f>'№ 6 ведом'!F409</f>
        <v>11839.6</v>
      </c>
      <c r="F601" s="17">
        <f>'№ 6 ведом'!G409</f>
        <v>11839.6</v>
      </c>
    </row>
    <row r="602" spans="1:6" ht="63">
      <c r="A602" s="104" t="s">
        <v>86</v>
      </c>
      <c r="B602" s="104">
        <v>1230200000</v>
      </c>
      <c r="C602" s="104"/>
      <c r="D602" s="105" t="s">
        <v>211</v>
      </c>
      <c r="E602" s="17">
        <f aca="true" t="shared" si="80" ref="E602:F604">E603</f>
        <v>260.7</v>
      </c>
      <c r="F602" s="17">
        <f t="shared" si="80"/>
        <v>260.7</v>
      </c>
    </row>
    <row r="603" spans="1:6" ht="12.75">
      <c r="A603" s="104" t="s">
        <v>86</v>
      </c>
      <c r="B603" s="104">
        <v>1230220040</v>
      </c>
      <c r="C603" s="104"/>
      <c r="D603" s="105" t="s">
        <v>212</v>
      </c>
      <c r="E603" s="17">
        <f aca="true" t="shared" si="81" ref="E603:F603">E604</f>
        <v>260.7</v>
      </c>
      <c r="F603" s="17">
        <f t="shared" si="81"/>
        <v>260.7</v>
      </c>
    </row>
    <row r="604" spans="1:6" ht="31.5">
      <c r="A604" s="104" t="s">
        <v>86</v>
      </c>
      <c r="B604" s="104">
        <v>1230220040</v>
      </c>
      <c r="C604" s="106" t="s">
        <v>94</v>
      </c>
      <c r="D604" s="105" t="s">
        <v>95</v>
      </c>
      <c r="E604" s="17">
        <f t="shared" si="80"/>
        <v>260.7</v>
      </c>
      <c r="F604" s="17">
        <f t="shared" si="80"/>
        <v>260.7</v>
      </c>
    </row>
    <row r="605" spans="1:6" ht="12.75">
      <c r="A605" s="104" t="s">
        <v>86</v>
      </c>
      <c r="B605" s="104">
        <v>1230220040</v>
      </c>
      <c r="C605" s="104">
        <v>610</v>
      </c>
      <c r="D605" s="105" t="s">
        <v>101</v>
      </c>
      <c r="E605" s="17">
        <f>'№ 6 ведом'!F413</f>
        <v>260.7</v>
      </c>
      <c r="F605" s="17">
        <f>'№ 6 ведом'!G413</f>
        <v>260.7</v>
      </c>
    </row>
    <row r="606" spans="1:6" ht="31.5">
      <c r="A606" s="104" t="s">
        <v>86</v>
      </c>
      <c r="B606" s="104">
        <v>1230600000</v>
      </c>
      <c r="C606" s="104"/>
      <c r="D606" s="105" t="s">
        <v>213</v>
      </c>
      <c r="E606" s="17">
        <f aca="true" t="shared" si="82" ref="E606">E607+E614</f>
        <v>1020.6</v>
      </c>
      <c r="F606" s="17">
        <f aca="true" t="shared" si="83" ref="F606">F607+F614</f>
        <v>1018.1</v>
      </c>
    </row>
    <row r="607" spans="1:6" ht="31.5">
      <c r="A607" s="104" t="s">
        <v>86</v>
      </c>
      <c r="B607" s="104">
        <v>1230620300</v>
      </c>
      <c r="C607" s="104"/>
      <c r="D607" s="105" t="s">
        <v>214</v>
      </c>
      <c r="E607" s="17">
        <f aca="true" t="shared" si="84" ref="E607">E608+E610+E612</f>
        <v>470.1</v>
      </c>
      <c r="F607" s="17">
        <f aca="true" t="shared" si="85" ref="F607">F608+F610+F612</f>
        <v>470.1</v>
      </c>
    </row>
    <row r="608" spans="1:6" ht="63">
      <c r="A608" s="104" t="s">
        <v>86</v>
      </c>
      <c r="B608" s="104">
        <v>1230620300</v>
      </c>
      <c r="C608" s="106" t="s">
        <v>68</v>
      </c>
      <c r="D608" s="105" t="s">
        <v>1</v>
      </c>
      <c r="E608" s="17">
        <f aca="true" t="shared" si="86" ref="E608:F608">E609</f>
        <v>192.6</v>
      </c>
      <c r="F608" s="17">
        <f t="shared" si="86"/>
        <v>192.6</v>
      </c>
    </row>
    <row r="609" spans="1:6" ht="31.5">
      <c r="A609" s="104" t="s">
        <v>86</v>
      </c>
      <c r="B609" s="104">
        <v>1230620300</v>
      </c>
      <c r="C609" s="104">
        <v>120</v>
      </c>
      <c r="D609" s="105" t="s">
        <v>246</v>
      </c>
      <c r="E609" s="17">
        <f>'№ 6 ведом'!F417</f>
        <v>192.6</v>
      </c>
      <c r="F609" s="17">
        <f>'№ 6 ведом'!G417</f>
        <v>192.6</v>
      </c>
    </row>
    <row r="610" spans="1:6" ht="31.5">
      <c r="A610" s="104" t="s">
        <v>86</v>
      </c>
      <c r="B610" s="104">
        <v>1230620300</v>
      </c>
      <c r="C610" s="106" t="s">
        <v>69</v>
      </c>
      <c r="D610" s="105" t="s">
        <v>92</v>
      </c>
      <c r="E610" s="17">
        <f aca="true" t="shared" si="87" ref="E610:F610">E611</f>
        <v>154.9</v>
      </c>
      <c r="F610" s="17">
        <f t="shared" si="87"/>
        <v>154.9</v>
      </c>
    </row>
    <row r="611" spans="1:6" ht="31.5">
      <c r="A611" s="104" t="s">
        <v>86</v>
      </c>
      <c r="B611" s="104">
        <v>1230620300</v>
      </c>
      <c r="C611" s="104">
        <v>240</v>
      </c>
      <c r="D611" s="105" t="s">
        <v>245</v>
      </c>
      <c r="E611" s="17">
        <f>'№ 6 ведом'!F419</f>
        <v>154.9</v>
      </c>
      <c r="F611" s="17">
        <f>'№ 6 ведом'!G419</f>
        <v>154.9</v>
      </c>
    </row>
    <row r="612" spans="1:6" ht="12.75">
      <c r="A612" s="104" t="s">
        <v>86</v>
      </c>
      <c r="B612" s="104">
        <v>1230620300</v>
      </c>
      <c r="C612" s="104" t="s">
        <v>70</v>
      </c>
      <c r="D612" s="105" t="s">
        <v>71</v>
      </c>
      <c r="E612" s="17">
        <f aca="true" t="shared" si="88" ref="E612:F612">E613</f>
        <v>122.60000000000001</v>
      </c>
      <c r="F612" s="17">
        <f t="shared" si="88"/>
        <v>122.6</v>
      </c>
    </row>
    <row r="613" spans="1:6" ht="12.75">
      <c r="A613" s="104" t="s">
        <v>86</v>
      </c>
      <c r="B613" s="104">
        <v>1230620300</v>
      </c>
      <c r="C613" s="104">
        <v>850</v>
      </c>
      <c r="D613" s="105" t="s">
        <v>97</v>
      </c>
      <c r="E613" s="17">
        <f>'№ 6 ведом'!F421</f>
        <v>122.60000000000001</v>
      </c>
      <c r="F613" s="17">
        <f>'№ 6 ведом'!G421</f>
        <v>122.6</v>
      </c>
    </row>
    <row r="614" spans="1:6" ht="12.75">
      <c r="A614" s="104" t="s">
        <v>86</v>
      </c>
      <c r="B614" s="104">
        <v>1230620320</v>
      </c>
      <c r="C614" s="104"/>
      <c r="D614" s="105" t="s">
        <v>146</v>
      </c>
      <c r="E614" s="17">
        <f aca="true" t="shared" si="89" ref="E614">E615+E617+E619</f>
        <v>550.5</v>
      </c>
      <c r="F614" s="17">
        <f aca="true" t="shared" si="90" ref="F614">F615+F617+F619</f>
        <v>548</v>
      </c>
    </row>
    <row r="615" spans="1:6" ht="63">
      <c r="A615" s="104" t="s">
        <v>86</v>
      </c>
      <c r="B615" s="104">
        <v>1230620320</v>
      </c>
      <c r="C615" s="106" t="s">
        <v>68</v>
      </c>
      <c r="D615" s="105" t="s">
        <v>1</v>
      </c>
      <c r="E615" s="17">
        <f aca="true" t="shared" si="91" ref="E615:F615">E616</f>
        <v>224.09999999999997</v>
      </c>
      <c r="F615" s="17">
        <f t="shared" si="91"/>
        <v>221.6</v>
      </c>
    </row>
    <row r="616" spans="1:6" ht="31.5">
      <c r="A616" s="104" t="s">
        <v>86</v>
      </c>
      <c r="B616" s="104">
        <v>1230620320</v>
      </c>
      <c r="C616" s="104">
        <v>120</v>
      </c>
      <c r="D616" s="105" t="s">
        <v>246</v>
      </c>
      <c r="E616" s="17">
        <f>'№ 6 ведом'!F424</f>
        <v>224.09999999999997</v>
      </c>
      <c r="F616" s="17">
        <f>'№ 6 ведом'!G424</f>
        <v>221.6</v>
      </c>
    </row>
    <row r="617" spans="1:6" ht="31.5">
      <c r="A617" s="104" t="s">
        <v>86</v>
      </c>
      <c r="B617" s="104">
        <v>1230620320</v>
      </c>
      <c r="C617" s="106" t="s">
        <v>69</v>
      </c>
      <c r="D617" s="105" t="s">
        <v>92</v>
      </c>
      <c r="E617" s="17">
        <f aca="true" t="shared" si="92" ref="E617:F617">E618</f>
        <v>196.1</v>
      </c>
      <c r="F617" s="17">
        <f t="shared" si="92"/>
        <v>196.1</v>
      </c>
    </row>
    <row r="618" spans="1:6" ht="31.5">
      <c r="A618" s="104" t="s">
        <v>86</v>
      </c>
      <c r="B618" s="104">
        <v>1230620320</v>
      </c>
      <c r="C618" s="104">
        <v>240</v>
      </c>
      <c r="D618" s="105" t="s">
        <v>245</v>
      </c>
      <c r="E618" s="17">
        <f>'№ 6 ведом'!F426</f>
        <v>196.1</v>
      </c>
      <c r="F618" s="17">
        <f>'№ 6 ведом'!G426</f>
        <v>196.1</v>
      </c>
    </row>
    <row r="619" spans="1:6" ht="31.5">
      <c r="A619" s="104" t="s">
        <v>86</v>
      </c>
      <c r="B619" s="104">
        <v>1230620320</v>
      </c>
      <c r="C619" s="106" t="s">
        <v>94</v>
      </c>
      <c r="D619" s="105" t="s">
        <v>95</v>
      </c>
      <c r="E619" s="17">
        <f aca="true" t="shared" si="93" ref="E619:F619">E620</f>
        <v>130.3</v>
      </c>
      <c r="F619" s="17">
        <f t="shared" si="93"/>
        <v>130.3</v>
      </c>
    </row>
    <row r="620" spans="1:6" ht="12.75">
      <c r="A620" s="104" t="s">
        <v>86</v>
      </c>
      <c r="B620" s="104">
        <v>1230620320</v>
      </c>
      <c r="C620" s="104">
        <v>610</v>
      </c>
      <c r="D620" s="105" t="s">
        <v>101</v>
      </c>
      <c r="E620" s="17">
        <f>'№ 6 ведом'!F428</f>
        <v>130.3</v>
      </c>
      <c r="F620" s="17">
        <f>'№ 6 ведом'!G428</f>
        <v>130.3</v>
      </c>
    </row>
    <row r="621" spans="1:6" ht="12.75">
      <c r="A621" s="104">
        <v>1103</v>
      </c>
      <c r="B621" s="104" t="s">
        <v>66</v>
      </c>
      <c r="C621" s="104" t="s">
        <v>66</v>
      </c>
      <c r="D621" s="105" t="s">
        <v>303</v>
      </c>
      <c r="E621" s="17">
        <f>E622+E639+E645</f>
        <v>17076.9</v>
      </c>
      <c r="F621" s="17">
        <f>F622+F639+F645</f>
        <v>17076.9</v>
      </c>
    </row>
    <row r="622" spans="1:6" ht="47.25">
      <c r="A622" s="104">
        <v>1103</v>
      </c>
      <c r="B622" s="106">
        <v>1200000000</v>
      </c>
      <c r="C622" s="104"/>
      <c r="D622" s="105" t="s">
        <v>187</v>
      </c>
      <c r="E622" s="17">
        <f>E623</f>
        <v>16085.1</v>
      </c>
      <c r="F622" s="17">
        <f>F623</f>
        <v>16085.1</v>
      </c>
    </row>
    <row r="623" spans="1:6" ht="31.5">
      <c r="A623" s="104">
        <v>1103</v>
      </c>
      <c r="B623" s="104">
        <v>1260000000</v>
      </c>
      <c r="C623" s="104"/>
      <c r="D623" s="105" t="s">
        <v>304</v>
      </c>
      <c r="E623" s="17">
        <f>E624+E628+E632</f>
        <v>16085.1</v>
      </c>
      <c r="F623" s="17">
        <f>F624+F628+F632</f>
        <v>16085.1</v>
      </c>
    </row>
    <row r="624" spans="1:6" ht="47.25">
      <c r="A624" s="104">
        <v>1103</v>
      </c>
      <c r="B624" s="104">
        <v>1260100000</v>
      </c>
      <c r="C624" s="104"/>
      <c r="D624" s="105" t="s">
        <v>305</v>
      </c>
      <c r="E624" s="17">
        <f aca="true" t="shared" si="94" ref="E624:F626">E625</f>
        <v>15451.7</v>
      </c>
      <c r="F624" s="17">
        <f t="shared" si="94"/>
        <v>15451.7</v>
      </c>
    </row>
    <row r="625" spans="1:6" ht="31.5">
      <c r="A625" s="104">
        <v>1103</v>
      </c>
      <c r="B625" s="104">
        <v>1260120010</v>
      </c>
      <c r="C625" s="104"/>
      <c r="D625" s="105" t="s">
        <v>121</v>
      </c>
      <c r="E625" s="17">
        <f t="shared" si="94"/>
        <v>15451.7</v>
      </c>
      <c r="F625" s="17">
        <f t="shared" si="94"/>
        <v>15451.7</v>
      </c>
    </row>
    <row r="626" spans="1:6" ht="31.5">
      <c r="A626" s="104">
        <v>1103</v>
      </c>
      <c r="B626" s="104">
        <v>1260120010</v>
      </c>
      <c r="C626" s="106" t="s">
        <v>94</v>
      </c>
      <c r="D626" s="105" t="s">
        <v>95</v>
      </c>
      <c r="E626" s="17">
        <f t="shared" si="94"/>
        <v>15451.7</v>
      </c>
      <c r="F626" s="17">
        <f t="shared" si="94"/>
        <v>15451.7</v>
      </c>
    </row>
    <row r="627" spans="1:6" ht="12.75">
      <c r="A627" s="104">
        <v>1103</v>
      </c>
      <c r="B627" s="104">
        <v>1260120010</v>
      </c>
      <c r="C627" s="104">
        <v>610</v>
      </c>
      <c r="D627" s="105" t="s">
        <v>101</v>
      </c>
      <c r="E627" s="17">
        <f>'№ 6 ведом'!F435</f>
        <v>15451.7</v>
      </c>
      <c r="F627" s="17">
        <f>'№ 6 ведом'!G435</f>
        <v>15451.7</v>
      </c>
    </row>
    <row r="628" spans="1:6" ht="63">
      <c r="A628" s="104">
        <v>1103</v>
      </c>
      <c r="B628" s="104">
        <v>1260500000</v>
      </c>
      <c r="C628" s="104"/>
      <c r="D628" s="105" t="s">
        <v>365</v>
      </c>
      <c r="E628" s="17">
        <f aca="true" t="shared" si="95" ref="E628:F630">E629</f>
        <v>300</v>
      </c>
      <c r="F628" s="17">
        <f t="shared" si="95"/>
        <v>300</v>
      </c>
    </row>
    <row r="629" spans="1:6" ht="31.5">
      <c r="A629" s="104">
        <v>1103</v>
      </c>
      <c r="B629" s="104">
        <v>1260520020</v>
      </c>
      <c r="C629" s="104"/>
      <c r="D629" s="105" t="s">
        <v>366</v>
      </c>
      <c r="E629" s="17">
        <f t="shared" si="95"/>
        <v>300</v>
      </c>
      <c r="F629" s="17">
        <f t="shared" si="95"/>
        <v>300</v>
      </c>
    </row>
    <row r="630" spans="1:6" ht="31.5">
      <c r="A630" s="104">
        <v>1103</v>
      </c>
      <c r="B630" s="104">
        <v>1260520020</v>
      </c>
      <c r="C630" s="106" t="s">
        <v>94</v>
      </c>
      <c r="D630" s="105" t="s">
        <v>95</v>
      </c>
      <c r="E630" s="17">
        <f t="shared" si="95"/>
        <v>300</v>
      </c>
      <c r="F630" s="17">
        <f t="shared" si="95"/>
        <v>300</v>
      </c>
    </row>
    <row r="631" spans="1:6" ht="12.75">
      <c r="A631" s="104">
        <v>1103</v>
      </c>
      <c r="B631" s="104">
        <v>1260520020</v>
      </c>
      <c r="C631" s="104">
        <v>610</v>
      </c>
      <c r="D631" s="105" t="s">
        <v>101</v>
      </c>
      <c r="E631" s="17">
        <f>'№ 6 ведом'!F439</f>
        <v>300</v>
      </c>
      <c r="F631" s="17">
        <f>'№ 6 ведом'!G439</f>
        <v>300</v>
      </c>
    </row>
    <row r="632" spans="1:6" ht="31.5">
      <c r="A632" s="125">
        <v>1103</v>
      </c>
      <c r="B632" s="125" t="s">
        <v>384</v>
      </c>
      <c r="C632" s="125"/>
      <c r="D632" s="128" t="s">
        <v>385</v>
      </c>
      <c r="E632" s="17">
        <f>E633+E636</f>
        <v>333.4</v>
      </c>
      <c r="F632" s="17">
        <f>F633+F636</f>
        <v>333.4</v>
      </c>
    </row>
    <row r="633" spans="1:6" ht="78.75">
      <c r="A633" s="125">
        <v>1103</v>
      </c>
      <c r="B633" s="124" t="s">
        <v>386</v>
      </c>
      <c r="C633" s="125"/>
      <c r="D633" s="129" t="s">
        <v>387</v>
      </c>
      <c r="E633" s="17">
        <f>E634</f>
        <v>300</v>
      </c>
      <c r="F633" s="17">
        <f>F634</f>
        <v>300</v>
      </c>
    </row>
    <row r="634" spans="1:6" ht="31.5">
      <c r="A634" s="125">
        <v>1103</v>
      </c>
      <c r="B634" s="124" t="s">
        <v>386</v>
      </c>
      <c r="C634" s="127" t="s">
        <v>94</v>
      </c>
      <c r="D634" s="126" t="s">
        <v>95</v>
      </c>
      <c r="E634" s="17">
        <f>E635</f>
        <v>300</v>
      </c>
      <c r="F634" s="17">
        <f>F635</f>
        <v>300</v>
      </c>
    </row>
    <row r="635" spans="1:6" ht="12.75">
      <c r="A635" s="125">
        <v>1103</v>
      </c>
      <c r="B635" s="124" t="s">
        <v>386</v>
      </c>
      <c r="C635" s="125">
        <v>610</v>
      </c>
      <c r="D635" s="126" t="s">
        <v>101</v>
      </c>
      <c r="E635" s="17">
        <f>'№ 6 ведом'!F443</f>
        <v>300</v>
      </c>
      <c r="F635" s="17">
        <f>'№ 6 ведом'!G443</f>
        <v>300</v>
      </c>
    </row>
    <row r="636" spans="1:6" ht="78.75">
      <c r="A636" s="125">
        <v>1103</v>
      </c>
      <c r="B636" s="124" t="s">
        <v>388</v>
      </c>
      <c r="C636" s="125"/>
      <c r="D636" s="129" t="s">
        <v>389</v>
      </c>
      <c r="E636" s="17">
        <f>E637</f>
        <v>33.4</v>
      </c>
      <c r="F636" s="17">
        <f>F637</f>
        <v>33.4</v>
      </c>
    </row>
    <row r="637" spans="1:6" ht="31.5">
      <c r="A637" s="125">
        <v>1103</v>
      </c>
      <c r="B637" s="124" t="s">
        <v>388</v>
      </c>
      <c r="C637" s="127" t="s">
        <v>94</v>
      </c>
      <c r="D637" s="126" t="s">
        <v>95</v>
      </c>
      <c r="E637" s="17">
        <f>E638</f>
        <v>33.4</v>
      </c>
      <c r="F637" s="17">
        <f>F638</f>
        <v>33.4</v>
      </c>
    </row>
    <row r="638" spans="1:6" ht="12.75">
      <c r="A638" s="125">
        <v>1103</v>
      </c>
      <c r="B638" s="124" t="s">
        <v>388</v>
      </c>
      <c r="C638" s="125">
        <v>610</v>
      </c>
      <c r="D638" s="126" t="s">
        <v>101</v>
      </c>
      <c r="E638" s="17">
        <f>'№ 6 ведом'!F446</f>
        <v>33.4</v>
      </c>
      <c r="F638" s="17">
        <f>'№ 6 ведом'!G446</f>
        <v>33.4</v>
      </c>
    </row>
    <row r="639" spans="1:6" ht="31.5">
      <c r="A639" s="104">
        <v>1103</v>
      </c>
      <c r="B639" s="106">
        <v>1500000000</v>
      </c>
      <c r="C639" s="104"/>
      <c r="D639" s="105" t="s">
        <v>188</v>
      </c>
      <c r="E639" s="17">
        <f aca="true" t="shared" si="96" ref="E639:F643">E640</f>
        <v>691.8</v>
      </c>
      <c r="F639" s="17">
        <f t="shared" si="96"/>
        <v>691.8</v>
      </c>
    </row>
    <row r="640" spans="1:6" ht="31.5">
      <c r="A640" s="104">
        <v>1103</v>
      </c>
      <c r="B640" s="106">
        <v>1520000000</v>
      </c>
      <c r="C640" s="104"/>
      <c r="D640" s="105" t="s">
        <v>293</v>
      </c>
      <c r="E640" s="17">
        <f t="shared" si="96"/>
        <v>691.8</v>
      </c>
      <c r="F640" s="17">
        <f t="shared" si="96"/>
        <v>691.8</v>
      </c>
    </row>
    <row r="641" spans="1:6" ht="47.25">
      <c r="A641" s="104">
        <v>1103</v>
      </c>
      <c r="B641" s="106">
        <v>1520300000</v>
      </c>
      <c r="C641" s="104"/>
      <c r="D641" s="105" t="s">
        <v>346</v>
      </c>
      <c r="E641" s="17">
        <f t="shared" si="96"/>
        <v>691.8</v>
      </c>
      <c r="F641" s="17">
        <f t="shared" si="96"/>
        <v>691.8</v>
      </c>
    </row>
    <row r="642" spans="1:6" ht="12.75">
      <c r="A642" s="104">
        <v>1103</v>
      </c>
      <c r="B642" s="106">
        <v>1520320200</v>
      </c>
      <c r="C642" s="104"/>
      <c r="D642" s="54" t="s">
        <v>347</v>
      </c>
      <c r="E642" s="17">
        <f t="shared" si="96"/>
        <v>691.8</v>
      </c>
      <c r="F642" s="17">
        <f t="shared" si="96"/>
        <v>691.8</v>
      </c>
    </row>
    <row r="643" spans="1:6" ht="31.5">
      <c r="A643" s="104">
        <v>1103</v>
      </c>
      <c r="B643" s="106">
        <v>1520320200</v>
      </c>
      <c r="C643" s="106" t="s">
        <v>94</v>
      </c>
      <c r="D643" s="54" t="s">
        <v>95</v>
      </c>
      <c r="E643" s="17">
        <f t="shared" si="96"/>
        <v>691.8</v>
      </c>
      <c r="F643" s="17">
        <f t="shared" si="96"/>
        <v>691.8</v>
      </c>
    </row>
    <row r="644" spans="1:6" ht="12.75">
      <c r="A644" s="104">
        <v>1103</v>
      </c>
      <c r="B644" s="106">
        <v>1520320200</v>
      </c>
      <c r="C644" s="104">
        <v>610</v>
      </c>
      <c r="D644" s="54" t="s">
        <v>101</v>
      </c>
      <c r="E644" s="17">
        <f>'№ 6 ведом'!F452</f>
        <v>691.8</v>
      </c>
      <c r="F644" s="17">
        <f>'№ 6 ведом'!G452</f>
        <v>691.8</v>
      </c>
    </row>
    <row r="645" spans="1:6" ht="12.75">
      <c r="A645" s="116">
        <v>1103</v>
      </c>
      <c r="B645" s="116">
        <v>9900000000</v>
      </c>
      <c r="C645" s="116"/>
      <c r="D645" s="54" t="s">
        <v>102</v>
      </c>
      <c r="E645" s="17">
        <f aca="true" t="shared" si="97" ref="E645:F648">E646</f>
        <v>300</v>
      </c>
      <c r="F645" s="17">
        <f t="shared" si="97"/>
        <v>300</v>
      </c>
    </row>
    <row r="646" spans="1:6" ht="47.25">
      <c r="A646" s="116">
        <v>1103</v>
      </c>
      <c r="B646" s="116">
        <v>9920000000</v>
      </c>
      <c r="C646" s="116"/>
      <c r="D646" s="54" t="s">
        <v>377</v>
      </c>
      <c r="E646" s="17">
        <f t="shared" si="97"/>
        <v>300</v>
      </c>
      <c r="F646" s="17">
        <f t="shared" si="97"/>
        <v>300</v>
      </c>
    </row>
    <row r="647" spans="1:6" ht="47.25">
      <c r="A647" s="116">
        <v>1103</v>
      </c>
      <c r="B647" s="116">
        <v>9920010920</v>
      </c>
      <c r="C647" s="116"/>
      <c r="D647" s="54" t="s">
        <v>378</v>
      </c>
      <c r="E647" s="17">
        <f t="shared" si="97"/>
        <v>300</v>
      </c>
      <c r="F647" s="17">
        <f t="shared" si="97"/>
        <v>300</v>
      </c>
    </row>
    <row r="648" spans="1:6" ht="31.5">
      <c r="A648" s="116">
        <v>1103</v>
      </c>
      <c r="B648" s="116">
        <v>9920010920</v>
      </c>
      <c r="C648" s="116" t="s">
        <v>94</v>
      </c>
      <c r="D648" s="54" t="s">
        <v>95</v>
      </c>
      <c r="E648" s="17">
        <f t="shared" si="97"/>
        <v>300</v>
      </c>
      <c r="F648" s="17">
        <f t="shared" si="97"/>
        <v>300</v>
      </c>
    </row>
    <row r="649" spans="1:6" ht="12.75">
      <c r="A649" s="116">
        <v>1103</v>
      </c>
      <c r="B649" s="116">
        <v>9920010920</v>
      </c>
      <c r="C649" s="116">
        <v>610</v>
      </c>
      <c r="D649" s="54" t="s">
        <v>101</v>
      </c>
      <c r="E649" s="17">
        <f>'№ 6 ведом'!F457</f>
        <v>300</v>
      </c>
      <c r="F649" s="17">
        <f>'№ 6 ведом'!G457</f>
        <v>300</v>
      </c>
    </row>
    <row r="650" spans="1:6" ht="12.75">
      <c r="A650" s="4" t="s">
        <v>90</v>
      </c>
      <c r="B650" s="4" t="s">
        <v>66</v>
      </c>
      <c r="C650" s="4" t="s">
        <v>66</v>
      </c>
      <c r="D650" s="19" t="s">
        <v>63</v>
      </c>
      <c r="E650" s="58">
        <f aca="true" t="shared" si="98" ref="E650:F653">E651</f>
        <v>1563.9</v>
      </c>
      <c r="F650" s="58">
        <f t="shared" si="98"/>
        <v>1563.9</v>
      </c>
    </row>
    <row r="651" spans="1:6" ht="12.75">
      <c r="A651" s="104" t="s">
        <v>64</v>
      </c>
      <c r="B651" s="104" t="s">
        <v>66</v>
      </c>
      <c r="C651" s="104" t="s">
        <v>66</v>
      </c>
      <c r="D651" s="105" t="s">
        <v>65</v>
      </c>
      <c r="E651" s="17">
        <f t="shared" si="98"/>
        <v>1563.9</v>
      </c>
      <c r="F651" s="17">
        <f t="shared" si="98"/>
        <v>1563.9</v>
      </c>
    </row>
    <row r="652" spans="1:6" ht="47.25">
      <c r="A652" s="104" t="s">
        <v>64</v>
      </c>
      <c r="B652" s="106">
        <v>1200000000</v>
      </c>
      <c r="C652" s="104"/>
      <c r="D652" s="105" t="s">
        <v>187</v>
      </c>
      <c r="E652" s="17">
        <f t="shared" si="98"/>
        <v>1563.9</v>
      </c>
      <c r="F652" s="17">
        <f t="shared" si="98"/>
        <v>1563.9</v>
      </c>
    </row>
    <row r="653" spans="1:6" ht="31.5">
      <c r="A653" s="104" t="s">
        <v>64</v>
      </c>
      <c r="B653" s="106">
        <v>1240000000</v>
      </c>
      <c r="C653" s="104"/>
      <c r="D653" s="105" t="s">
        <v>133</v>
      </c>
      <c r="E653" s="17">
        <f t="shared" si="98"/>
        <v>1563.9</v>
      </c>
      <c r="F653" s="17">
        <f t="shared" si="98"/>
        <v>1563.9</v>
      </c>
    </row>
    <row r="654" spans="1:6" ht="31.5">
      <c r="A654" s="104" t="s">
        <v>64</v>
      </c>
      <c r="B654" s="104">
        <v>1240300000</v>
      </c>
      <c r="C654" s="104"/>
      <c r="D654" s="105" t="s">
        <v>208</v>
      </c>
      <c r="E654" s="17">
        <f>E655+E658+E661</f>
        <v>1563.9</v>
      </c>
      <c r="F654" s="17">
        <f>F655+F658+F661</f>
        <v>1563.9</v>
      </c>
    </row>
    <row r="655" spans="1:6" ht="47.25">
      <c r="A655" s="104" t="s">
        <v>64</v>
      </c>
      <c r="B655" s="104">
        <v>1240310320</v>
      </c>
      <c r="C655" s="104"/>
      <c r="D655" s="54" t="s">
        <v>286</v>
      </c>
      <c r="E655" s="17">
        <f aca="true" t="shared" si="99" ref="E655:F656">E656</f>
        <v>471.4</v>
      </c>
      <c r="F655" s="17">
        <f t="shared" si="99"/>
        <v>471.4</v>
      </c>
    </row>
    <row r="656" spans="1:6" ht="31.5">
      <c r="A656" s="104" t="s">
        <v>64</v>
      </c>
      <c r="B656" s="104">
        <v>1240310320</v>
      </c>
      <c r="C656" s="106" t="s">
        <v>94</v>
      </c>
      <c r="D656" s="105" t="s">
        <v>95</v>
      </c>
      <c r="E656" s="17">
        <f t="shared" si="99"/>
        <v>471.4</v>
      </c>
      <c r="F656" s="17">
        <f t="shared" si="99"/>
        <v>471.4</v>
      </c>
    </row>
    <row r="657" spans="1:6" ht="31.5">
      <c r="A657" s="104" t="s">
        <v>64</v>
      </c>
      <c r="B657" s="104">
        <v>1240310320</v>
      </c>
      <c r="C657" s="104">
        <v>630</v>
      </c>
      <c r="D657" s="105" t="s">
        <v>151</v>
      </c>
      <c r="E657" s="17">
        <f>'№ 6 ведом'!F465</f>
        <v>471.4</v>
      </c>
      <c r="F657" s="17">
        <f>'№ 6 ведом'!G465</f>
        <v>471.4</v>
      </c>
    </row>
    <row r="658" spans="1:6" ht="47.25">
      <c r="A658" s="104" t="s">
        <v>64</v>
      </c>
      <c r="B658" s="104">
        <v>1240320400</v>
      </c>
      <c r="C658" s="104"/>
      <c r="D658" s="105" t="s">
        <v>287</v>
      </c>
      <c r="E658" s="17">
        <f>E659</f>
        <v>456</v>
      </c>
      <c r="F658" s="17">
        <f>F659</f>
        <v>456</v>
      </c>
    </row>
    <row r="659" spans="1:6" ht="31.5">
      <c r="A659" s="104" t="s">
        <v>64</v>
      </c>
      <c r="B659" s="104">
        <v>1240320400</v>
      </c>
      <c r="C659" s="106" t="s">
        <v>69</v>
      </c>
      <c r="D659" s="105" t="s">
        <v>92</v>
      </c>
      <c r="E659" s="17">
        <f>E660</f>
        <v>456</v>
      </c>
      <c r="F659" s="17">
        <f>F660</f>
        <v>456</v>
      </c>
    </row>
    <row r="660" spans="1:6" ht="31.5">
      <c r="A660" s="104" t="s">
        <v>64</v>
      </c>
      <c r="B660" s="104">
        <v>1240320400</v>
      </c>
      <c r="C660" s="104">
        <v>240</v>
      </c>
      <c r="D660" s="105" t="s">
        <v>245</v>
      </c>
      <c r="E660" s="17">
        <f>'№ 6 ведом'!F468</f>
        <v>456</v>
      </c>
      <c r="F660" s="17">
        <f>'№ 6 ведом'!G468</f>
        <v>456</v>
      </c>
    </row>
    <row r="661" spans="1:6" ht="47.25">
      <c r="A661" s="104" t="s">
        <v>64</v>
      </c>
      <c r="B661" s="104" t="s">
        <v>154</v>
      </c>
      <c r="C661" s="104"/>
      <c r="D661" s="105" t="s">
        <v>153</v>
      </c>
      <c r="E661" s="17">
        <f>E662</f>
        <v>636.5</v>
      </c>
      <c r="F661" s="17">
        <f>F662</f>
        <v>636.5</v>
      </c>
    </row>
    <row r="662" spans="1:6" ht="31.5">
      <c r="A662" s="104" t="s">
        <v>64</v>
      </c>
      <c r="B662" s="104" t="s">
        <v>154</v>
      </c>
      <c r="C662" s="106" t="s">
        <v>94</v>
      </c>
      <c r="D662" s="105" t="s">
        <v>95</v>
      </c>
      <c r="E662" s="17">
        <f aca="true" t="shared" si="100" ref="E662:F662">E663</f>
        <v>636.5</v>
      </c>
      <c r="F662" s="17">
        <f t="shared" si="100"/>
        <v>636.5</v>
      </c>
    </row>
    <row r="663" spans="1:6" ht="31.5">
      <c r="A663" s="104" t="s">
        <v>64</v>
      </c>
      <c r="B663" s="104" t="s">
        <v>154</v>
      </c>
      <c r="C663" s="104">
        <v>630</v>
      </c>
      <c r="D663" s="105" t="s">
        <v>151</v>
      </c>
      <c r="E663" s="21">
        <f>'№ 6 ведом'!F471</f>
        <v>636.5</v>
      </c>
      <c r="F663" s="21">
        <f>'№ 6 ведом'!G471</f>
        <v>636.5</v>
      </c>
    </row>
    <row r="664" spans="1:6" ht="12.75">
      <c r="A664" s="4" t="s">
        <v>252</v>
      </c>
      <c r="B664" s="4" t="s">
        <v>66</v>
      </c>
      <c r="C664" s="4" t="s">
        <v>66</v>
      </c>
      <c r="D664" s="19" t="s">
        <v>253</v>
      </c>
      <c r="E664" s="6">
        <f aca="true" t="shared" si="101" ref="E664:F669">E665</f>
        <v>12.3</v>
      </c>
      <c r="F664" s="6">
        <f t="shared" si="101"/>
        <v>12.3</v>
      </c>
    </row>
    <row r="665" spans="1:6" ht="31.5">
      <c r="A665" s="104" t="s">
        <v>254</v>
      </c>
      <c r="B665" s="104" t="s">
        <v>66</v>
      </c>
      <c r="C665" s="104" t="s">
        <v>66</v>
      </c>
      <c r="D665" s="54" t="s">
        <v>255</v>
      </c>
      <c r="E665" s="21">
        <f t="shared" si="101"/>
        <v>12.3</v>
      </c>
      <c r="F665" s="21">
        <f t="shared" si="101"/>
        <v>12.3</v>
      </c>
    </row>
    <row r="666" spans="1:6" ht="12.75">
      <c r="A666" s="104" t="s">
        <v>254</v>
      </c>
      <c r="B666" s="104">
        <v>9900000000</v>
      </c>
      <c r="C666" s="104"/>
      <c r="D666" s="54" t="s">
        <v>102</v>
      </c>
      <c r="E666" s="21">
        <f t="shared" si="101"/>
        <v>12.3</v>
      </c>
      <c r="F666" s="21">
        <f t="shared" si="101"/>
        <v>12.3</v>
      </c>
    </row>
    <row r="667" spans="1:6" ht="31.5">
      <c r="A667" s="104" t="s">
        <v>254</v>
      </c>
      <c r="B667" s="104">
        <v>9930000000</v>
      </c>
      <c r="C667" s="104"/>
      <c r="D667" s="54" t="s">
        <v>165</v>
      </c>
      <c r="E667" s="21">
        <f t="shared" si="101"/>
        <v>12.3</v>
      </c>
      <c r="F667" s="21">
        <f t="shared" si="101"/>
        <v>12.3</v>
      </c>
    </row>
    <row r="668" spans="1:6" ht="12.75">
      <c r="A668" s="104" t="s">
        <v>254</v>
      </c>
      <c r="B668" s="104">
        <v>9930020500</v>
      </c>
      <c r="C668" s="104"/>
      <c r="D668" s="54" t="s">
        <v>256</v>
      </c>
      <c r="E668" s="21">
        <f t="shared" si="101"/>
        <v>12.3</v>
      </c>
      <c r="F668" s="21">
        <f t="shared" si="101"/>
        <v>12.3</v>
      </c>
    </row>
    <row r="669" spans="1:6" ht="12.75">
      <c r="A669" s="104" t="s">
        <v>254</v>
      </c>
      <c r="B669" s="104">
        <v>9930020500</v>
      </c>
      <c r="C669" s="104" t="s">
        <v>257</v>
      </c>
      <c r="D669" s="54" t="s">
        <v>258</v>
      </c>
      <c r="E669" s="21">
        <f t="shared" si="101"/>
        <v>12.3</v>
      </c>
      <c r="F669" s="21">
        <f t="shared" si="101"/>
        <v>12.3</v>
      </c>
    </row>
    <row r="670" spans="1:6" ht="12.75">
      <c r="A670" s="104" t="s">
        <v>254</v>
      </c>
      <c r="B670" s="104">
        <v>9930020500</v>
      </c>
      <c r="C670" s="1" t="s">
        <v>259</v>
      </c>
      <c r="D670" s="57" t="s">
        <v>256</v>
      </c>
      <c r="E670" s="21">
        <f>'№ 6 ведом'!F495</f>
        <v>12.3</v>
      </c>
      <c r="F670" s="21">
        <f>'№ 6 ведом'!G495</f>
        <v>12.3</v>
      </c>
    </row>
  </sheetData>
  <autoFilter ref="A5:J670"/>
  <mergeCells count="2">
    <mergeCell ref="A3:F3"/>
    <mergeCell ref="A1:F1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77" r:id="rId1"/>
  <headerFooter>
    <oddFooter>&amp;C&amp;Ф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5"/>
  <sheetViews>
    <sheetView view="pageBreakPreview" zoomScaleSheetLayoutView="100" workbookViewId="0" topLeftCell="A1">
      <selection activeCell="A1" sqref="A1:E1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2" customWidth="1"/>
    <col min="4" max="4" width="13.25390625" style="38" customWidth="1"/>
    <col min="5" max="5" width="13.125" style="38" customWidth="1"/>
    <col min="6" max="6" width="8.875" style="30" customWidth="1"/>
    <col min="7" max="10" width="8.875" style="76" customWidth="1"/>
    <col min="11" max="16384" width="8.875" style="30" customWidth="1"/>
  </cols>
  <sheetData>
    <row r="1" spans="1:5" ht="52.15" customHeight="1">
      <c r="A1" s="331" t="s">
        <v>1096</v>
      </c>
      <c r="B1" s="331"/>
      <c r="C1" s="331"/>
      <c r="D1" s="331"/>
      <c r="E1" s="331"/>
    </row>
    <row r="2" spans="1:5" ht="12" customHeight="1">
      <c r="A2" s="109"/>
      <c r="B2" s="109"/>
      <c r="C2" s="327"/>
      <c r="D2" s="327"/>
      <c r="E2" s="327"/>
    </row>
    <row r="3" spans="1:5" ht="50.45" customHeight="1">
      <c r="A3" s="330" t="s">
        <v>407</v>
      </c>
      <c r="B3" s="330"/>
      <c r="C3" s="330"/>
      <c r="D3" s="330"/>
      <c r="E3" s="330"/>
    </row>
    <row r="4" spans="1:5" ht="47.25">
      <c r="A4" s="163"/>
      <c r="B4" s="163" t="s">
        <v>17</v>
      </c>
      <c r="C4" s="163" t="s">
        <v>18</v>
      </c>
      <c r="D4" s="155" t="s">
        <v>402</v>
      </c>
      <c r="E4" s="11" t="s">
        <v>403</v>
      </c>
    </row>
    <row r="5" spans="1:5" ht="12.75">
      <c r="A5" s="110" t="s">
        <v>3</v>
      </c>
      <c r="B5" s="110" t="s">
        <v>77</v>
      </c>
      <c r="C5" s="163" t="s">
        <v>78</v>
      </c>
      <c r="D5" s="111" t="s">
        <v>79</v>
      </c>
      <c r="E5" s="111" t="s">
        <v>80</v>
      </c>
    </row>
    <row r="6" spans="1:5" ht="12.75">
      <c r="A6" s="31" t="s">
        <v>66</v>
      </c>
      <c r="B6" s="31" t="s">
        <v>66</v>
      </c>
      <c r="C6" s="32" t="s">
        <v>0</v>
      </c>
      <c r="D6" s="35">
        <f>D7+D97+D234+D278+D332+D359+D414</f>
        <v>976067.5</v>
      </c>
      <c r="E6" s="35">
        <f>E7+E97+E234+E278+E332+E359+E414</f>
        <v>924798.6000000001</v>
      </c>
    </row>
    <row r="7" spans="1:5" ht="33" customHeight="1">
      <c r="A7" s="28">
        <v>1100000000</v>
      </c>
      <c r="B7" s="33"/>
      <c r="C7" s="44" t="s">
        <v>192</v>
      </c>
      <c r="D7" s="36">
        <f>D8+D63+D74</f>
        <v>592342.7999999999</v>
      </c>
      <c r="E7" s="36">
        <f>E8+E63+E74</f>
        <v>587681.9</v>
      </c>
    </row>
    <row r="8" spans="1:5" ht="12.75">
      <c r="A8" s="104">
        <v>1110000000</v>
      </c>
      <c r="B8" s="104"/>
      <c r="C8" s="105" t="s">
        <v>175</v>
      </c>
      <c r="D8" s="37">
        <f>D9+D19+D25+D29+D38+D51+D55+D59</f>
        <v>553721.6</v>
      </c>
      <c r="E8" s="37">
        <f>E9+E19+E25+E29+E38+E51+E55+E59</f>
        <v>549188.4</v>
      </c>
    </row>
    <row r="9" spans="1:5" ht="47.25">
      <c r="A9" s="104">
        <v>1110100000</v>
      </c>
      <c r="B9" s="24"/>
      <c r="C9" s="105" t="s">
        <v>176</v>
      </c>
      <c r="D9" s="37">
        <f>D16+D10+D13</f>
        <v>479356</v>
      </c>
      <c r="E9" s="37">
        <f>E16+E10+E13</f>
        <v>479356.00000000006</v>
      </c>
    </row>
    <row r="10" spans="1:5" ht="47.25">
      <c r="A10" s="10" t="s">
        <v>178</v>
      </c>
      <c r="B10" s="11"/>
      <c r="C10" s="42" t="s">
        <v>100</v>
      </c>
      <c r="D10" s="37">
        <f>D11</f>
        <v>125685.1</v>
      </c>
      <c r="E10" s="37">
        <f>E11</f>
        <v>125685.1</v>
      </c>
    </row>
    <row r="11" spans="1:5" ht="31.5">
      <c r="A11" s="10" t="s">
        <v>178</v>
      </c>
      <c r="B11" s="106" t="s">
        <v>94</v>
      </c>
      <c r="C11" s="105" t="s">
        <v>95</v>
      </c>
      <c r="D11" s="37">
        <f>D12</f>
        <v>125685.1</v>
      </c>
      <c r="E11" s="37">
        <f>E12</f>
        <v>125685.1</v>
      </c>
    </row>
    <row r="12" spans="1:5" ht="12.75">
      <c r="A12" s="10" t="s">
        <v>178</v>
      </c>
      <c r="B12" s="104">
        <v>610</v>
      </c>
      <c r="C12" s="105" t="s">
        <v>101</v>
      </c>
      <c r="D12" s="37">
        <f>' № 7  рп, кцср, квр'!E309</f>
        <v>125685.1</v>
      </c>
      <c r="E12" s="37">
        <f>' № 7  рп, кцср, квр'!F309</f>
        <v>125685.1</v>
      </c>
    </row>
    <row r="13" spans="1:5" ht="81" customHeight="1">
      <c r="A13" s="104">
        <v>1110110750</v>
      </c>
      <c r="B13" s="104"/>
      <c r="C13" s="105" t="s">
        <v>179</v>
      </c>
      <c r="D13" s="37">
        <f>D14</f>
        <v>213664.69999999998</v>
      </c>
      <c r="E13" s="37">
        <f>E14</f>
        <v>213664.7</v>
      </c>
    </row>
    <row r="14" spans="1:5" ht="31.5">
      <c r="A14" s="104">
        <v>1110110750</v>
      </c>
      <c r="B14" s="106" t="s">
        <v>94</v>
      </c>
      <c r="C14" s="105" t="s">
        <v>95</v>
      </c>
      <c r="D14" s="37">
        <f>D15</f>
        <v>213664.69999999998</v>
      </c>
      <c r="E14" s="37">
        <f>E15</f>
        <v>213664.7</v>
      </c>
    </row>
    <row r="15" spans="1:5" ht="12.75">
      <c r="A15" s="104">
        <v>1110110750</v>
      </c>
      <c r="B15" s="104">
        <v>610</v>
      </c>
      <c r="C15" s="105" t="s">
        <v>101</v>
      </c>
      <c r="D15" s="37">
        <f>' № 7  рп, кцср, квр'!E343</f>
        <v>213664.69999999998</v>
      </c>
      <c r="E15" s="37">
        <f>' № 7  рп, кцср, квр'!F343</f>
        <v>213664.7</v>
      </c>
    </row>
    <row r="16" spans="1:5" ht="31.5">
      <c r="A16" s="10" t="s">
        <v>177</v>
      </c>
      <c r="B16" s="10"/>
      <c r="C16" s="42" t="s">
        <v>121</v>
      </c>
      <c r="D16" s="37">
        <f>D17</f>
        <v>140006.2</v>
      </c>
      <c r="E16" s="37">
        <f>E17</f>
        <v>140006.2</v>
      </c>
    </row>
    <row r="17" spans="1:5" ht="31.5">
      <c r="A17" s="10" t="s">
        <v>177</v>
      </c>
      <c r="B17" s="106" t="s">
        <v>94</v>
      </c>
      <c r="C17" s="105" t="s">
        <v>95</v>
      </c>
      <c r="D17" s="37">
        <f>D18</f>
        <v>140006.2</v>
      </c>
      <c r="E17" s="37">
        <f>E18</f>
        <v>140006.2</v>
      </c>
    </row>
    <row r="18" spans="1:5" ht="12.75">
      <c r="A18" s="10" t="s">
        <v>177</v>
      </c>
      <c r="B18" s="104">
        <v>610</v>
      </c>
      <c r="C18" s="105" t="s">
        <v>101</v>
      </c>
      <c r="D18" s="37">
        <f>' № 7  рп, кцср, квр'!E312+' № 7  рп, кцср, квр'!E344</f>
        <v>140006.2</v>
      </c>
      <c r="E18" s="37">
        <f>' № 7  рп, кцср, квр'!F312+' № 7  рп, кцср, квр'!F344</f>
        <v>140006.2</v>
      </c>
    </row>
    <row r="19" spans="1:5" ht="33.75" customHeight="1">
      <c r="A19" s="104">
        <v>1110200000</v>
      </c>
      <c r="B19" s="104"/>
      <c r="C19" s="105" t="s">
        <v>186</v>
      </c>
      <c r="D19" s="37">
        <f>D20</f>
        <v>9685.800000000001</v>
      </c>
      <c r="E19" s="37">
        <f>E20</f>
        <v>8049.1</v>
      </c>
    </row>
    <row r="20" spans="1:5" ht="78.75">
      <c r="A20" s="104">
        <v>1110210500</v>
      </c>
      <c r="B20" s="104"/>
      <c r="C20" s="105" t="s">
        <v>238</v>
      </c>
      <c r="D20" s="37">
        <f>D21+D23</f>
        <v>9685.800000000001</v>
      </c>
      <c r="E20" s="37">
        <f>E21+E23</f>
        <v>8049.1</v>
      </c>
    </row>
    <row r="21" spans="1:5" ht="31.5">
      <c r="A21" s="104">
        <v>1110210500</v>
      </c>
      <c r="B21" s="104" t="s">
        <v>69</v>
      </c>
      <c r="C21" s="105" t="s">
        <v>92</v>
      </c>
      <c r="D21" s="37">
        <f>D22</f>
        <v>236.2</v>
      </c>
      <c r="E21" s="37">
        <f>E22</f>
        <v>186.5</v>
      </c>
    </row>
    <row r="22" spans="1:5" ht="31.5">
      <c r="A22" s="104">
        <v>1110210500</v>
      </c>
      <c r="B22" s="104">
        <v>240</v>
      </c>
      <c r="C22" s="105" t="s">
        <v>245</v>
      </c>
      <c r="D22" s="37">
        <f>' № 7  рп, кцср, квр'!E576</f>
        <v>236.2</v>
      </c>
      <c r="E22" s="37">
        <f>' № 7  рп, кцср, квр'!F576</f>
        <v>186.5</v>
      </c>
    </row>
    <row r="23" spans="1:5" ht="12.75">
      <c r="A23" s="104">
        <v>1110210500</v>
      </c>
      <c r="B23" s="104" t="s">
        <v>73</v>
      </c>
      <c r="C23" s="105" t="s">
        <v>74</v>
      </c>
      <c r="D23" s="37">
        <f>D24</f>
        <v>9449.6</v>
      </c>
      <c r="E23" s="37">
        <f>E24</f>
        <v>7862.6</v>
      </c>
    </row>
    <row r="24" spans="1:5" ht="31.5">
      <c r="A24" s="104">
        <v>1110210500</v>
      </c>
      <c r="B24" s="1" t="s">
        <v>98</v>
      </c>
      <c r="C24" s="46" t="s">
        <v>99</v>
      </c>
      <c r="D24" s="37">
        <f>' № 7  рп, кцср, квр'!E578</f>
        <v>9449.6</v>
      </c>
      <c r="E24" s="37">
        <f>' № 7  рп, кцср, квр'!F578</f>
        <v>7862.6</v>
      </c>
    </row>
    <row r="25" spans="1:5" ht="31.5">
      <c r="A25" s="104">
        <v>1110300000</v>
      </c>
      <c r="B25" s="104"/>
      <c r="C25" s="105" t="s">
        <v>180</v>
      </c>
      <c r="D25" s="37">
        <f aca="true" t="shared" si="0" ref="D25:E27">D26</f>
        <v>22884.300000000003</v>
      </c>
      <c r="E25" s="37">
        <f t="shared" si="0"/>
        <v>20294.2</v>
      </c>
    </row>
    <row r="26" spans="1:5" ht="47.25">
      <c r="A26" s="104" t="s">
        <v>330</v>
      </c>
      <c r="B26" s="104"/>
      <c r="C26" s="105" t="s">
        <v>332</v>
      </c>
      <c r="D26" s="37">
        <f t="shared" si="0"/>
        <v>22884.300000000003</v>
      </c>
      <c r="E26" s="37">
        <f t="shared" si="0"/>
        <v>20294.2</v>
      </c>
    </row>
    <row r="27" spans="1:5" ht="31.5">
      <c r="A27" s="104" t="s">
        <v>330</v>
      </c>
      <c r="B27" s="106" t="s">
        <v>94</v>
      </c>
      <c r="C27" s="105" t="s">
        <v>95</v>
      </c>
      <c r="D27" s="37">
        <f t="shared" si="0"/>
        <v>22884.300000000003</v>
      </c>
      <c r="E27" s="37">
        <f t="shared" si="0"/>
        <v>20294.2</v>
      </c>
    </row>
    <row r="28" spans="1:5" ht="12.75">
      <c r="A28" s="104" t="s">
        <v>330</v>
      </c>
      <c r="B28" s="104">
        <v>610</v>
      </c>
      <c r="C28" s="105" t="s">
        <v>101</v>
      </c>
      <c r="D28" s="37">
        <f>' № 7  рп, кцср, квр'!E350</f>
        <v>22884.300000000003</v>
      </c>
      <c r="E28" s="37">
        <f>' № 7  рп, кцср, квр'!F350</f>
        <v>20294.2</v>
      </c>
    </row>
    <row r="29" spans="1:5" ht="12.75">
      <c r="A29" s="104">
        <v>1110400000</v>
      </c>
      <c r="B29" s="104"/>
      <c r="C29" s="48" t="s">
        <v>181</v>
      </c>
      <c r="D29" s="37">
        <f>D35+D30</f>
        <v>3781.0999999999995</v>
      </c>
      <c r="E29" s="37">
        <f>E35+E30</f>
        <v>3739.7000000000003</v>
      </c>
    </row>
    <row r="30" spans="1:5" ht="31.5">
      <c r="A30" s="104">
        <v>1110410240</v>
      </c>
      <c r="B30" s="104"/>
      <c r="C30" s="54" t="s">
        <v>285</v>
      </c>
      <c r="D30" s="37">
        <f>D31+D33</f>
        <v>3402.9999999999995</v>
      </c>
      <c r="E30" s="37">
        <f>E31+E33</f>
        <v>3391.3</v>
      </c>
    </row>
    <row r="31" spans="1:5" ht="12.75">
      <c r="A31" s="104">
        <v>1110410240</v>
      </c>
      <c r="B31" s="1" t="s">
        <v>73</v>
      </c>
      <c r="C31" s="46" t="s">
        <v>74</v>
      </c>
      <c r="D31" s="37">
        <f>D32</f>
        <v>62.20000000000003</v>
      </c>
      <c r="E31" s="37">
        <f>E32</f>
        <v>50.5</v>
      </c>
    </row>
    <row r="32" spans="1:5" ht="31.5">
      <c r="A32" s="104">
        <v>1110410240</v>
      </c>
      <c r="B32" s="104">
        <v>320</v>
      </c>
      <c r="C32" s="105" t="s">
        <v>99</v>
      </c>
      <c r="D32" s="37">
        <f>' № 7  рп, кцср, квр'!E434</f>
        <v>62.20000000000003</v>
      </c>
      <c r="E32" s="37">
        <f>' № 7  рп, кцср, квр'!F434</f>
        <v>50.5</v>
      </c>
    </row>
    <row r="33" spans="1:5" ht="31.5">
      <c r="A33" s="104">
        <v>1110410240</v>
      </c>
      <c r="B33" s="106" t="s">
        <v>94</v>
      </c>
      <c r="C33" s="105" t="s">
        <v>95</v>
      </c>
      <c r="D33" s="37">
        <f>D34</f>
        <v>3340.7999999999997</v>
      </c>
      <c r="E33" s="37">
        <f>E34</f>
        <v>3340.8</v>
      </c>
    </row>
    <row r="34" spans="1:5" ht="12.75">
      <c r="A34" s="104">
        <v>1110410240</v>
      </c>
      <c r="B34" s="104">
        <v>610</v>
      </c>
      <c r="C34" s="105" t="s">
        <v>101</v>
      </c>
      <c r="D34" s="37">
        <f>' № 7  рп, кцср, квр'!E436</f>
        <v>3340.7999999999997</v>
      </c>
      <c r="E34" s="37">
        <f>' № 7  рп, кцср, квр'!F436</f>
        <v>3340.8</v>
      </c>
    </row>
    <row r="35" spans="1:5" ht="31.5">
      <c r="A35" s="104" t="s">
        <v>183</v>
      </c>
      <c r="B35" s="104"/>
      <c r="C35" s="48" t="s">
        <v>182</v>
      </c>
      <c r="D35" s="37">
        <f>D36</f>
        <v>378.1</v>
      </c>
      <c r="E35" s="37">
        <f>E36</f>
        <v>348.4</v>
      </c>
    </row>
    <row r="36" spans="1:5" ht="12.75">
      <c r="A36" s="104" t="s">
        <v>183</v>
      </c>
      <c r="B36" s="1" t="s">
        <v>73</v>
      </c>
      <c r="C36" s="49" t="s">
        <v>74</v>
      </c>
      <c r="D36" s="37">
        <f>D37</f>
        <v>378.1</v>
      </c>
      <c r="E36" s="37">
        <f>E37</f>
        <v>348.4</v>
      </c>
    </row>
    <row r="37" spans="1:5" ht="31.5">
      <c r="A37" s="104" t="s">
        <v>183</v>
      </c>
      <c r="B37" s="104">
        <v>320</v>
      </c>
      <c r="C37" s="105" t="s">
        <v>99</v>
      </c>
      <c r="D37" s="37">
        <f>' № 7  рп, кцср, квр'!E439</f>
        <v>378.1</v>
      </c>
      <c r="E37" s="37">
        <f>' № 7  рп, кцср, квр'!F439</f>
        <v>348.4</v>
      </c>
    </row>
    <row r="38" spans="1:5" ht="63">
      <c r="A38" s="104">
        <v>1110700000</v>
      </c>
      <c r="B38" s="104"/>
      <c r="C38" s="54" t="s">
        <v>298</v>
      </c>
      <c r="D38" s="37">
        <f>D45+D39+D42+D48</f>
        <v>21181.200000000004</v>
      </c>
      <c r="E38" s="37">
        <f>E45+E39+E42+E48</f>
        <v>21087.800000000003</v>
      </c>
    </row>
    <row r="39" spans="1:5" ht="47.25">
      <c r="A39" s="93" t="s">
        <v>328</v>
      </c>
      <c r="B39" s="94"/>
      <c r="C39" s="95" t="s">
        <v>329</v>
      </c>
      <c r="D39" s="37">
        <f>D40</f>
        <v>5896.099999999999</v>
      </c>
      <c r="E39" s="37">
        <f>E40</f>
        <v>5888.9</v>
      </c>
    </row>
    <row r="40" spans="1:5" ht="31.5">
      <c r="A40" s="93" t="s">
        <v>328</v>
      </c>
      <c r="B40" s="96">
        <v>600</v>
      </c>
      <c r="C40" s="95" t="s">
        <v>95</v>
      </c>
      <c r="D40" s="37">
        <f>D41</f>
        <v>5896.099999999999</v>
      </c>
      <c r="E40" s="37">
        <f>E41</f>
        <v>5888.9</v>
      </c>
    </row>
    <row r="41" spans="1:5" ht="12.75">
      <c r="A41" s="93" t="s">
        <v>328</v>
      </c>
      <c r="B41" s="94">
        <v>610</v>
      </c>
      <c r="C41" s="95" t="s">
        <v>101</v>
      </c>
      <c r="D41" s="37">
        <f>' № 7  рп, кцср, квр'!E316</f>
        <v>5896.099999999999</v>
      </c>
      <c r="E41" s="37">
        <f>' № 7  рп, кцср, квр'!F316</f>
        <v>5888.9</v>
      </c>
    </row>
    <row r="42" spans="1:5" ht="31.5">
      <c r="A42" s="10" t="s">
        <v>376</v>
      </c>
      <c r="B42" s="104"/>
      <c r="C42" s="54" t="s">
        <v>366</v>
      </c>
      <c r="D42" s="37">
        <f>D43</f>
        <v>11057.100000000002</v>
      </c>
      <c r="E42" s="37">
        <f>E43</f>
        <v>10972.7</v>
      </c>
    </row>
    <row r="43" spans="1:5" ht="31.5">
      <c r="A43" s="10" t="s">
        <v>376</v>
      </c>
      <c r="B43" s="106" t="s">
        <v>94</v>
      </c>
      <c r="C43" s="105" t="s">
        <v>95</v>
      </c>
      <c r="D43" s="37">
        <f>D44</f>
        <v>11057.100000000002</v>
      </c>
      <c r="E43" s="37">
        <f>E44</f>
        <v>10972.7</v>
      </c>
    </row>
    <row r="44" spans="1:5" ht="12.75">
      <c r="A44" s="10" t="s">
        <v>376</v>
      </c>
      <c r="B44" s="104">
        <v>610</v>
      </c>
      <c r="C44" s="105" t="s">
        <v>101</v>
      </c>
      <c r="D44" s="37">
        <f>' № 7  рп, кцср, квр'!E354+' № 7  рп, кцср, квр'!E319</f>
        <v>11057.100000000002</v>
      </c>
      <c r="E44" s="37">
        <f>' № 7  рп, кцср, квр'!F354+' № 7  рп, кцср, квр'!F319</f>
        <v>10972.7</v>
      </c>
    </row>
    <row r="45" spans="1:5" ht="47.25">
      <c r="A45" s="10" t="s">
        <v>306</v>
      </c>
      <c r="B45" s="94"/>
      <c r="C45" s="95" t="s">
        <v>307</v>
      </c>
      <c r="D45" s="37">
        <f>D46</f>
        <v>1474.1</v>
      </c>
      <c r="E45" s="37">
        <f>E46</f>
        <v>1472.3</v>
      </c>
    </row>
    <row r="46" spans="1:5" ht="31.5">
      <c r="A46" s="10" t="s">
        <v>306</v>
      </c>
      <c r="B46" s="96">
        <v>600</v>
      </c>
      <c r="C46" s="95" t="s">
        <v>95</v>
      </c>
      <c r="D46" s="37">
        <f>D47</f>
        <v>1474.1</v>
      </c>
      <c r="E46" s="37">
        <f>E47</f>
        <v>1472.3</v>
      </c>
    </row>
    <row r="47" spans="1:5" ht="12.75">
      <c r="A47" s="10" t="s">
        <v>306</v>
      </c>
      <c r="B47" s="94">
        <v>610</v>
      </c>
      <c r="C47" s="95" t="s">
        <v>101</v>
      </c>
      <c r="D47" s="97">
        <f>' № 7  рп, кцср, квр'!E322</f>
        <v>1474.1</v>
      </c>
      <c r="E47" s="97">
        <f>' № 7  рп, кцср, квр'!F322</f>
        <v>1472.3</v>
      </c>
    </row>
    <row r="48" spans="1:5" ht="47.25">
      <c r="A48" s="10" t="s">
        <v>397</v>
      </c>
      <c r="B48" s="148"/>
      <c r="C48" s="149" t="s">
        <v>398</v>
      </c>
      <c r="D48" s="97">
        <f>D49</f>
        <v>2753.9</v>
      </c>
      <c r="E48" s="97">
        <f>E49</f>
        <v>2753.9</v>
      </c>
    </row>
    <row r="49" spans="1:5" ht="31.5">
      <c r="A49" s="10" t="s">
        <v>397</v>
      </c>
      <c r="B49" s="150" t="s">
        <v>94</v>
      </c>
      <c r="C49" s="149" t="s">
        <v>95</v>
      </c>
      <c r="D49" s="97">
        <f>D50</f>
        <v>2753.9</v>
      </c>
      <c r="E49" s="97">
        <f>E50</f>
        <v>2753.9</v>
      </c>
    </row>
    <row r="50" spans="1:5" ht="12.75">
      <c r="A50" s="10" t="s">
        <v>397</v>
      </c>
      <c r="B50" s="148">
        <v>610</v>
      </c>
      <c r="C50" s="149" t="s">
        <v>101</v>
      </c>
      <c r="D50" s="97">
        <f>' № 7  рп, кцср, квр'!E357</f>
        <v>2753.9</v>
      </c>
      <c r="E50" s="97">
        <f>' № 7  рп, кцср, квр'!F357</f>
        <v>2753.9</v>
      </c>
    </row>
    <row r="51" spans="1:5" ht="47.25">
      <c r="A51" s="104">
        <v>1110800000</v>
      </c>
      <c r="B51" s="104"/>
      <c r="C51" s="105" t="s">
        <v>333</v>
      </c>
      <c r="D51" s="97">
        <f aca="true" t="shared" si="1" ref="D51:E53">D52</f>
        <v>14530.3</v>
      </c>
      <c r="E51" s="97">
        <f t="shared" si="1"/>
        <v>14530.3</v>
      </c>
    </row>
    <row r="52" spans="1:5" ht="47.25">
      <c r="A52" s="104">
        <v>1110853031</v>
      </c>
      <c r="B52" s="104"/>
      <c r="C52" s="303" t="s">
        <v>334</v>
      </c>
      <c r="D52" s="304">
        <f t="shared" si="1"/>
        <v>14530.3</v>
      </c>
      <c r="E52" s="97">
        <f t="shared" si="1"/>
        <v>14530.3</v>
      </c>
    </row>
    <row r="53" spans="1:5" ht="31.5">
      <c r="A53" s="104">
        <v>1110853031</v>
      </c>
      <c r="B53" s="106" t="s">
        <v>94</v>
      </c>
      <c r="C53" s="105" t="s">
        <v>95</v>
      </c>
      <c r="D53" s="97">
        <f t="shared" si="1"/>
        <v>14530.3</v>
      </c>
      <c r="E53" s="97">
        <f t="shared" si="1"/>
        <v>14530.3</v>
      </c>
    </row>
    <row r="54" spans="1:5" ht="12.75">
      <c r="A54" s="104">
        <v>1110853031</v>
      </c>
      <c r="B54" s="104">
        <v>610</v>
      </c>
      <c r="C54" s="105" t="s">
        <v>101</v>
      </c>
      <c r="D54" s="97">
        <f>' № 7  рп, кцср, квр'!E361</f>
        <v>14530.3</v>
      </c>
      <c r="E54" s="97">
        <f>' № 7  рп, кцср, квр'!F361</f>
        <v>14530.3</v>
      </c>
    </row>
    <row r="55" spans="1:5" ht="31.5">
      <c r="A55" s="104">
        <v>1110900000</v>
      </c>
      <c r="B55" s="104"/>
      <c r="C55" s="105" t="s">
        <v>349</v>
      </c>
      <c r="D55" s="97">
        <f aca="true" t="shared" si="2" ref="D55:E57">D56</f>
        <v>1890.8999999999999</v>
      </c>
      <c r="E55" s="97">
        <f t="shared" si="2"/>
        <v>1793.1</v>
      </c>
    </row>
    <row r="56" spans="1:5" ht="47.25">
      <c r="A56" s="104">
        <v>1110920020</v>
      </c>
      <c r="B56" s="104"/>
      <c r="C56" s="105" t="s">
        <v>362</v>
      </c>
      <c r="D56" s="97">
        <f t="shared" si="2"/>
        <v>1890.8999999999999</v>
      </c>
      <c r="E56" s="97">
        <f t="shared" si="2"/>
        <v>1793.1</v>
      </c>
    </row>
    <row r="57" spans="1:5" ht="31.5">
      <c r="A57" s="104">
        <v>1110920020</v>
      </c>
      <c r="B57" s="106" t="s">
        <v>94</v>
      </c>
      <c r="C57" s="105" t="s">
        <v>95</v>
      </c>
      <c r="D57" s="97">
        <f t="shared" si="2"/>
        <v>1890.8999999999999</v>
      </c>
      <c r="E57" s="97">
        <f t="shared" si="2"/>
        <v>1793.1</v>
      </c>
    </row>
    <row r="58" spans="1:5" ht="12.75">
      <c r="A58" s="104">
        <v>1110920020</v>
      </c>
      <c r="B58" s="104">
        <v>610</v>
      </c>
      <c r="C58" s="105" t="s">
        <v>101</v>
      </c>
      <c r="D58" s="97">
        <f>' № 7  рп, кцср, квр'!E365</f>
        <v>1890.8999999999999</v>
      </c>
      <c r="E58" s="97">
        <f>' № 7  рп, кцср, квр'!F365</f>
        <v>1793.1</v>
      </c>
    </row>
    <row r="59" spans="1:5" ht="31.5">
      <c r="A59" s="104">
        <v>1111000000</v>
      </c>
      <c r="B59" s="104"/>
      <c r="C59" s="105" t="s">
        <v>364</v>
      </c>
      <c r="D59" s="97">
        <f aca="true" t="shared" si="3" ref="D59:E61">D60</f>
        <v>412</v>
      </c>
      <c r="E59" s="97">
        <f t="shared" si="3"/>
        <v>338.2</v>
      </c>
    </row>
    <row r="60" spans="1:5" ht="12.75">
      <c r="A60" s="104">
        <v>1111020030</v>
      </c>
      <c r="B60" s="104"/>
      <c r="C60" s="105" t="s">
        <v>265</v>
      </c>
      <c r="D60" s="97">
        <f t="shared" si="3"/>
        <v>412</v>
      </c>
      <c r="E60" s="97">
        <f t="shared" si="3"/>
        <v>338.2</v>
      </c>
    </row>
    <row r="61" spans="1:5" ht="31.5">
      <c r="A61" s="104">
        <v>1111020030</v>
      </c>
      <c r="B61" s="106" t="s">
        <v>94</v>
      </c>
      <c r="C61" s="105" t="s">
        <v>95</v>
      </c>
      <c r="D61" s="97">
        <f t="shared" si="3"/>
        <v>412</v>
      </c>
      <c r="E61" s="97">
        <f t="shared" si="3"/>
        <v>338.2</v>
      </c>
    </row>
    <row r="62" spans="1:5" ht="12.75">
      <c r="A62" s="104">
        <v>1111020030</v>
      </c>
      <c r="B62" s="104">
        <v>610</v>
      </c>
      <c r="C62" s="105" t="s">
        <v>101</v>
      </c>
      <c r="D62" s="97">
        <f>' № 7  рп, кцср, квр'!E369</f>
        <v>412</v>
      </c>
      <c r="E62" s="97">
        <f>' № 7  рп, кцср, квр'!F369</f>
        <v>338.2</v>
      </c>
    </row>
    <row r="63" spans="1:5" ht="12.75">
      <c r="A63" s="104">
        <v>1120000000</v>
      </c>
      <c r="B63" s="104"/>
      <c r="C63" s="105" t="s">
        <v>119</v>
      </c>
      <c r="D63" s="37">
        <f>D64</f>
        <v>37776.1</v>
      </c>
      <c r="E63" s="37">
        <f>E64</f>
        <v>37724.2</v>
      </c>
    </row>
    <row r="64" spans="1:5" ht="47.25">
      <c r="A64" s="104">
        <v>1120100000</v>
      </c>
      <c r="B64" s="104"/>
      <c r="C64" s="105" t="s">
        <v>120</v>
      </c>
      <c r="D64" s="37">
        <f>D68+D65+D71</f>
        <v>37776.1</v>
      </c>
      <c r="E64" s="37">
        <f>E68+E65+E71</f>
        <v>37724.2</v>
      </c>
    </row>
    <row r="65" spans="1:5" ht="47.25">
      <c r="A65" s="104">
        <v>1120110690</v>
      </c>
      <c r="B65" s="104"/>
      <c r="C65" s="54" t="s">
        <v>276</v>
      </c>
      <c r="D65" s="37">
        <f>D66</f>
        <v>9861.699999999999</v>
      </c>
      <c r="E65" s="37">
        <f>E66</f>
        <v>9809.8</v>
      </c>
    </row>
    <row r="66" spans="1:5" ht="31.5">
      <c r="A66" s="104">
        <v>1120110690</v>
      </c>
      <c r="B66" s="106" t="s">
        <v>94</v>
      </c>
      <c r="C66" s="54" t="s">
        <v>95</v>
      </c>
      <c r="D66" s="37">
        <f>D67</f>
        <v>9861.699999999999</v>
      </c>
      <c r="E66" s="37">
        <f>E67</f>
        <v>9809.8</v>
      </c>
    </row>
    <row r="67" spans="1:5" ht="12.75">
      <c r="A67" s="104">
        <v>1120110690</v>
      </c>
      <c r="B67" s="104">
        <v>610</v>
      </c>
      <c r="C67" s="54" t="s">
        <v>101</v>
      </c>
      <c r="D67" s="37">
        <f>' № 7  рп, кцср, квр'!E404</f>
        <v>9861.699999999999</v>
      </c>
      <c r="E67" s="37">
        <f>' № 7  рп, кцср, квр'!F404</f>
        <v>9809.8</v>
      </c>
    </row>
    <row r="68" spans="1:5" ht="31.5">
      <c r="A68" s="104">
        <v>1120120010</v>
      </c>
      <c r="B68" s="104"/>
      <c r="C68" s="105" t="s">
        <v>121</v>
      </c>
      <c r="D68" s="37">
        <f>D69</f>
        <v>27814.7</v>
      </c>
      <c r="E68" s="37">
        <f>E69</f>
        <v>27814.7</v>
      </c>
    </row>
    <row r="69" spans="1:5" ht="31.5">
      <c r="A69" s="104">
        <v>1120120010</v>
      </c>
      <c r="B69" s="106" t="s">
        <v>94</v>
      </c>
      <c r="C69" s="105" t="s">
        <v>95</v>
      </c>
      <c r="D69" s="37">
        <f>D70</f>
        <v>27814.7</v>
      </c>
      <c r="E69" s="37">
        <f>E70</f>
        <v>27814.7</v>
      </c>
    </row>
    <row r="70" spans="1:5" ht="12.75">
      <c r="A70" s="104">
        <v>1120120010</v>
      </c>
      <c r="B70" s="104">
        <v>610</v>
      </c>
      <c r="C70" s="105" t="s">
        <v>101</v>
      </c>
      <c r="D70" s="37">
        <f>' № 7  рп, кцср, квр'!E407+' № 7  рп, кцср, квр'!E374</f>
        <v>27814.7</v>
      </c>
      <c r="E70" s="37">
        <f>' № 7  рп, кцср, квр'!F407+' № 7  рп, кцср, квр'!F374</f>
        <v>27814.7</v>
      </c>
    </row>
    <row r="71" spans="1:5" ht="47.25">
      <c r="A71" s="104" t="s">
        <v>288</v>
      </c>
      <c r="B71" s="104"/>
      <c r="C71" s="54" t="s">
        <v>289</v>
      </c>
      <c r="D71" s="37">
        <f>D72</f>
        <v>99.7</v>
      </c>
      <c r="E71" s="37">
        <f>E72</f>
        <v>99.7</v>
      </c>
    </row>
    <row r="72" spans="1:5" ht="31.5">
      <c r="A72" s="104" t="s">
        <v>288</v>
      </c>
      <c r="B72" s="106" t="s">
        <v>94</v>
      </c>
      <c r="C72" s="54" t="s">
        <v>95</v>
      </c>
      <c r="D72" s="37">
        <f>D73</f>
        <v>99.7</v>
      </c>
      <c r="E72" s="37">
        <f>E73</f>
        <v>99.7</v>
      </c>
    </row>
    <row r="73" spans="1:5" ht="12.75">
      <c r="A73" s="104" t="s">
        <v>288</v>
      </c>
      <c r="B73" s="104">
        <v>610</v>
      </c>
      <c r="C73" s="54" t="s">
        <v>101</v>
      </c>
      <c r="D73" s="37">
        <f>' № 7  рп, кцср, квр'!E410</f>
        <v>99.7</v>
      </c>
      <c r="E73" s="37">
        <f>' № 7  рп, кцср, квр'!F410</f>
        <v>99.7</v>
      </c>
    </row>
    <row r="74" spans="1:5" ht="31.5">
      <c r="A74" s="106">
        <v>1130000000</v>
      </c>
      <c r="B74" s="24"/>
      <c r="C74" s="48" t="s">
        <v>112</v>
      </c>
      <c r="D74" s="37">
        <f>D75+D85+D89+D93</f>
        <v>845.0999999999999</v>
      </c>
      <c r="E74" s="37">
        <f>E75+E85+E89+E93</f>
        <v>769.3</v>
      </c>
    </row>
    <row r="75" spans="1:5" ht="31.5">
      <c r="A75" s="104">
        <v>1130100000</v>
      </c>
      <c r="B75" s="24"/>
      <c r="C75" s="48" t="s">
        <v>229</v>
      </c>
      <c r="D75" s="37">
        <f>D76+D82+D79</f>
        <v>285.6</v>
      </c>
      <c r="E75" s="37">
        <f>E76+E82+E79</f>
        <v>271.8</v>
      </c>
    </row>
    <row r="76" spans="1:5" ht="31.5">
      <c r="A76" s="106">
        <v>1130120260</v>
      </c>
      <c r="B76" s="24"/>
      <c r="C76" s="48" t="s">
        <v>230</v>
      </c>
      <c r="D76" s="37">
        <f>D77</f>
        <v>155.9</v>
      </c>
      <c r="E76" s="37">
        <f>E77</f>
        <v>142.1</v>
      </c>
    </row>
    <row r="77" spans="1:5" ht="31.5">
      <c r="A77" s="106">
        <v>1130120260</v>
      </c>
      <c r="B77" s="104" t="s">
        <v>69</v>
      </c>
      <c r="C77" s="48" t="s">
        <v>92</v>
      </c>
      <c r="D77" s="37">
        <f>D78</f>
        <v>155.9</v>
      </c>
      <c r="E77" s="37">
        <f>E78</f>
        <v>142.1</v>
      </c>
    </row>
    <row r="78" spans="1:5" ht="31.5">
      <c r="A78" s="106">
        <v>1130120260</v>
      </c>
      <c r="B78" s="104">
        <v>240</v>
      </c>
      <c r="C78" s="48" t="s">
        <v>245</v>
      </c>
      <c r="D78" s="37">
        <f>' № 7  рп, кцср, квр'!E467</f>
        <v>155.9</v>
      </c>
      <c r="E78" s="37">
        <f>' № 7  рп, кцср, квр'!F467</f>
        <v>142.1</v>
      </c>
    </row>
    <row r="79" spans="1:5" ht="31.5">
      <c r="A79" s="106">
        <v>1130111080</v>
      </c>
      <c r="B79" s="104"/>
      <c r="C79" s="105" t="s">
        <v>284</v>
      </c>
      <c r="D79" s="37">
        <f>D80</f>
        <v>116.7</v>
      </c>
      <c r="E79" s="37">
        <f>E80</f>
        <v>116.7</v>
      </c>
    </row>
    <row r="80" spans="1:5" ht="31.5">
      <c r="A80" s="106">
        <v>1130111080</v>
      </c>
      <c r="B80" s="106" t="s">
        <v>94</v>
      </c>
      <c r="C80" s="105" t="s">
        <v>95</v>
      </c>
      <c r="D80" s="37">
        <f>D81</f>
        <v>116.7</v>
      </c>
      <c r="E80" s="37">
        <f>E81</f>
        <v>116.7</v>
      </c>
    </row>
    <row r="81" spans="1:5" ht="12.75">
      <c r="A81" s="106">
        <v>1130111080</v>
      </c>
      <c r="B81" s="104">
        <v>610</v>
      </c>
      <c r="C81" s="105" t="s">
        <v>101</v>
      </c>
      <c r="D81" s="37">
        <f>' № 7  рп, кцср, квр'!E379</f>
        <v>116.7</v>
      </c>
      <c r="E81" s="37">
        <f>' № 7  рп, кцср, квр'!F379</f>
        <v>116.7</v>
      </c>
    </row>
    <row r="82" spans="1:5" ht="31.5">
      <c r="A82" s="106" t="s">
        <v>250</v>
      </c>
      <c r="B82" s="104"/>
      <c r="C82" s="105" t="s">
        <v>251</v>
      </c>
      <c r="D82" s="37">
        <f>D83</f>
        <v>13</v>
      </c>
      <c r="E82" s="37">
        <f>E83</f>
        <v>13</v>
      </c>
    </row>
    <row r="83" spans="1:5" ht="31.5">
      <c r="A83" s="106" t="s">
        <v>250</v>
      </c>
      <c r="B83" s="106" t="s">
        <v>94</v>
      </c>
      <c r="C83" s="105" t="s">
        <v>95</v>
      </c>
      <c r="D83" s="37">
        <f>D84</f>
        <v>13</v>
      </c>
      <c r="E83" s="37">
        <f>E84</f>
        <v>13</v>
      </c>
    </row>
    <row r="84" spans="1:5" ht="12.75">
      <c r="A84" s="106" t="s">
        <v>250</v>
      </c>
      <c r="B84" s="104">
        <v>610</v>
      </c>
      <c r="C84" s="105" t="s">
        <v>101</v>
      </c>
      <c r="D84" s="37">
        <f>' № 7  рп, кцср, квр'!E382</f>
        <v>13</v>
      </c>
      <c r="E84" s="37">
        <f>' № 7  рп, кцср, квр'!F382</f>
        <v>13</v>
      </c>
    </row>
    <row r="85" spans="1:5" ht="31.5">
      <c r="A85" s="104">
        <v>1130200000</v>
      </c>
      <c r="B85" s="104"/>
      <c r="C85" s="48" t="s">
        <v>184</v>
      </c>
      <c r="D85" s="37">
        <f aca="true" t="shared" si="4" ref="D85:E87">D86</f>
        <v>105.3</v>
      </c>
      <c r="E85" s="37">
        <f t="shared" si="4"/>
        <v>49.1</v>
      </c>
    </row>
    <row r="86" spans="1:5" ht="31.5">
      <c r="A86" s="104">
        <v>1130220270</v>
      </c>
      <c r="B86" s="104"/>
      <c r="C86" s="48" t="s">
        <v>185</v>
      </c>
      <c r="D86" s="37">
        <f t="shared" si="4"/>
        <v>105.3</v>
      </c>
      <c r="E86" s="37">
        <f t="shared" si="4"/>
        <v>49.1</v>
      </c>
    </row>
    <row r="87" spans="1:5" ht="31.5">
      <c r="A87" s="104">
        <v>1130220270</v>
      </c>
      <c r="B87" s="104" t="s">
        <v>69</v>
      </c>
      <c r="C87" s="48" t="s">
        <v>92</v>
      </c>
      <c r="D87" s="37">
        <f t="shared" si="4"/>
        <v>105.3</v>
      </c>
      <c r="E87" s="37">
        <f t="shared" si="4"/>
        <v>49.1</v>
      </c>
    </row>
    <row r="88" spans="1:5" ht="31.5">
      <c r="A88" s="104">
        <v>1130220270</v>
      </c>
      <c r="B88" s="104">
        <v>240</v>
      </c>
      <c r="C88" s="48" t="s">
        <v>245</v>
      </c>
      <c r="D88" s="37">
        <f>' № 7  рп, кцср, квр'!E471+' № 7  рп, кцср, квр'!E444</f>
        <v>105.3</v>
      </c>
      <c r="E88" s="37">
        <f>' № 7  рп, кцср, квр'!F471+' № 7  рп, кцср, квр'!F444</f>
        <v>49.1</v>
      </c>
    </row>
    <row r="89" spans="1:5" ht="47.25">
      <c r="A89" s="106">
        <v>1130300000</v>
      </c>
      <c r="B89" s="24"/>
      <c r="C89" s="48" t="s">
        <v>113</v>
      </c>
      <c r="D89" s="37">
        <f aca="true" t="shared" si="5" ref="D89:E91">D90</f>
        <v>384.4</v>
      </c>
      <c r="E89" s="37">
        <f t="shared" si="5"/>
        <v>384.4</v>
      </c>
    </row>
    <row r="90" spans="1:5" ht="31.5">
      <c r="A90" s="106">
        <v>1130320280</v>
      </c>
      <c r="B90" s="24"/>
      <c r="C90" s="48" t="s">
        <v>114</v>
      </c>
      <c r="D90" s="37">
        <f t="shared" si="5"/>
        <v>384.4</v>
      </c>
      <c r="E90" s="37">
        <f t="shared" si="5"/>
        <v>384.4</v>
      </c>
    </row>
    <row r="91" spans="1:5" ht="31.5">
      <c r="A91" s="106">
        <v>1130320280</v>
      </c>
      <c r="B91" s="106" t="s">
        <v>94</v>
      </c>
      <c r="C91" s="105" t="s">
        <v>95</v>
      </c>
      <c r="D91" s="37">
        <f t="shared" si="5"/>
        <v>384.4</v>
      </c>
      <c r="E91" s="37">
        <f t="shared" si="5"/>
        <v>384.4</v>
      </c>
    </row>
    <row r="92" spans="1:5" ht="12.75">
      <c r="A92" s="106">
        <v>1130320280</v>
      </c>
      <c r="B92" s="104">
        <v>610</v>
      </c>
      <c r="C92" s="105" t="s">
        <v>101</v>
      </c>
      <c r="D92" s="37">
        <f>' № 7  рп, кцср, квр'!E489</f>
        <v>384.4</v>
      </c>
      <c r="E92" s="37">
        <f>' № 7  рп, кцср, квр'!F489</f>
        <v>384.4</v>
      </c>
    </row>
    <row r="93" spans="1:5" ht="31.5">
      <c r="A93" s="104">
        <v>1130400000</v>
      </c>
      <c r="B93" s="104"/>
      <c r="C93" s="48" t="s">
        <v>143</v>
      </c>
      <c r="D93" s="37">
        <f aca="true" t="shared" si="6" ref="D93:E95">D94</f>
        <v>69.8</v>
      </c>
      <c r="E93" s="37">
        <f t="shared" si="6"/>
        <v>64</v>
      </c>
    </row>
    <row r="94" spans="1:5" ht="31.5">
      <c r="A94" s="104">
        <v>1130420290</v>
      </c>
      <c r="B94" s="104"/>
      <c r="C94" s="48" t="s">
        <v>144</v>
      </c>
      <c r="D94" s="37">
        <f t="shared" si="6"/>
        <v>69.8</v>
      </c>
      <c r="E94" s="37">
        <f t="shared" si="6"/>
        <v>64</v>
      </c>
    </row>
    <row r="95" spans="1:5" ht="31.5">
      <c r="A95" s="104">
        <v>1130420290</v>
      </c>
      <c r="B95" s="106" t="s">
        <v>69</v>
      </c>
      <c r="C95" s="105" t="s">
        <v>92</v>
      </c>
      <c r="D95" s="37">
        <f t="shared" si="6"/>
        <v>69.8</v>
      </c>
      <c r="E95" s="37">
        <f t="shared" si="6"/>
        <v>64</v>
      </c>
    </row>
    <row r="96" spans="1:5" ht="31.5">
      <c r="A96" s="104">
        <v>1130420290</v>
      </c>
      <c r="B96" s="104">
        <v>240</v>
      </c>
      <c r="C96" s="105" t="s">
        <v>245</v>
      </c>
      <c r="D96" s="37">
        <f>' № 7  рп, кцср, квр'!E448</f>
        <v>69.8</v>
      </c>
      <c r="E96" s="37">
        <f>' № 7  рп, кцср, квр'!F448</f>
        <v>64</v>
      </c>
    </row>
    <row r="97" spans="1:10" s="34" customFormat="1" ht="47.25">
      <c r="A97" s="28">
        <v>1200000000</v>
      </c>
      <c r="B97" s="16"/>
      <c r="C97" s="51" t="s">
        <v>187</v>
      </c>
      <c r="D97" s="36">
        <f>D98+D116+D137+D161+D218</f>
        <v>80764.6</v>
      </c>
      <c r="E97" s="36">
        <f>E98+E116+E137+E161+E218</f>
        <v>80587.20000000001</v>
      </c>
      <c r="G97" s="79"/>
      <c r="H97" s="79"/>
      <c r="I97" s="79"/>
      <c r="J97" s="79"/>
    </row>
    <row r="98" spans="1:5" ht="12.75">
      <c r="A98" s="106">
        <v>1210000000</v>
      </c>
      <c r="B98" s="104"/>
      <c r="C98" s="105" t="s">
        <v>200</v>
      </c>
      <c r="D98" s="39">
        <f>D99+D109</f>
        <v>12971.199999999999</v>
      </c>
      <c r="E98" s="39">
        <f>E99+E109</f>
        <v>12971.2</v>
      </c>
    </row>
    <row r="99" spans="1:5" ht="31.5">
      <c r="A99" s="106">
        <v>1210100000</v>
      </c>
      <c r="B99" s="104"/>
      <c r="C99" s="105" t="s">
        <v>201</v>
      </c>
      <c r="D99" s="37">
        <f aca="true" t="shared" si="7" ref="D99:E99">D103+D100+D106</f>
        <v>12871.199999999999</v>
      </c>
      <c r="E99" s="37">
        <f t="shared" si="7"/>
        <v>12871.2</v>
      </c>
    </row>
    <row r="100" spans="1:5" ht="47.25">
      <c r="A100" s="106">
        <v>1210110680</v>
      </c>
      <c r="B100" s="104"/>
      <c r="C100" s="59" t="s">
        <v>277</v>
      </c>
      <c r="D100" s="37">
        <f aca="true" t="shared" si="8" ref="D100:E101">D101</f>
        <v>4807</v>
      </c>
      <c r="E100" s="37">
        <f t="shared" si="8"/>
        <v>4807</v>
      </c>
    </row>
    <row r="101" spans="1:5" ht="31.5">
      <c r="A101" s="106">
        <v>1210110680</v>
      </c>
      <c r="B101" s="106" t="s">
        <v>94</v>
      </c>
      <c r="C101" s="54" t="s">
        <v>95</v>
      </c>
      <c r="D101" s="37">
        <f t="shared" si="8"/>
        <v>4807</v>
      </c>
      <c r="E101" s="37">
        <f t="shared" si="8"/>
        <v>4807</v>
      </c>
    </row>
    <row r="102" spans="1:5" ht="12.75">
      <c r="A102" s="106">
        <v>1210110680</v>
      </c>
      <c r="B102" s="104">
        <v>610</v>
      </c>
      <c r="C102" s="54" t="s">
        <v>101</v>
      </c>
      <c r="D102" s="37">
        <f>' № 7  рп, кцср, квр'!E495</f>
        <v>4807</v>
      </c>
      <c r="E102" s="37">
        <f>' № 7  рп, кцср, квр'!F495</f>
        <v>4807</v>
      </c>
    </row>
    <row r="103" spans="1:5" ht="31.5">
      <c r="A103" s="106">
        <v>1210120010</v>
      </c>
      <c r="B103" s="104"/>
      <c r="C103" s="105" t="s">
        <v>121</v>
      </c>
      <c r="D103" s="37">
        <f aca="true" t="shared" si="9" ref="D103:E104">D104</f>
        <v>8015.599999999999</v>
      </c>
      <c r="E103" s="37">
        <f t="shared" si="9"/>
        <v>8015.6</v>
      </c>
    </row>
    <row r="104" spans="1:5" ht="31.5">
      <c r="A104" s="106">
        <v>1210120010</v>
      </c>
      <c r="B104" s="106" t="s">
        <v>94</v>
      </c>
      <c r="C104" s="105" t="s">
        <v>95</v>
      </c>
      <c r="D104" s="37">
        <f t="shared" si="9"/>
        <v>8015.599999999999</v>
      </c>
      <c r="E104" s="37">
        <f t="shared" si="9"/>
        <v>8015.6</v>
      </c>
    </row>
    <row r="105" spans="1:5" ht="12.75">
      <c r="A105" s="106">
        <v>1210120010</v>
      </c>
      <c r="B105" s="104">
        <v>610</v>
      </c>
      <c r="C105" s="105" t="s">
        <v>101</v>
      </c>
      <c r="D105" s="37">
        <f>' № 7  рп, кцср, квр'!E498</f>
        <v>8015.599999999999</v>
      </c>
      <c r="E105" s="37">
        <f>' № 7  рп, кцср, квр'!F498</f>
        <v>8015.6</v>
      </c>
    </row>
    <row r="106" spans="1:5" ht="29.25" customHeight="1">
      <c r="A106" s="106" t="s">
        <v>290</v>
      </c>
      <c r="B106" s="104"/>
      <c r="C106" s="59" t="s">
        <v>291</v>
      </c>
      <c r="D106" s="37">
        <f aca="true" t="shared" si="10" ref="D106:E107">D107</f>
        <v>48.599999999999994</v>
      </c>
      <c r="E106" s="37">
        <f t="shared" si="10"/>
        <v>48.6</v>
      </c>
    </row>
    <row r="107" spans="1:5" ht="31.5">
      <c r="A107" s="106" t="s">
        <v>290</v>
      </c>
      <c r="B107" s="106" t="s">
        <v>94</v>
      </c>
      <c r="C107" s="54" t="s">
        <v>95</v>
      </c>
      <c r="D107" s="37">
        <f t="shared" si="10"/>
        <v>48.599999999999994</v>
      </c>
      <c r="E107" s="37">
        <f t="shared" si="10"/>
        <v>48.6</v>
      </c>
    </row>
    <row r="108" spans="1:5" ht="12.75">
      <c r="A108" s="106" t="s">
        <v>290</v>
      </c>
      <c r="B108" s="104">
        <v>610</v>
      </c>
      <c r="C108" s="54" t="s">
        <v>101</v>
      </c>
      <c r="D108" s="37">
        <f>' № 7  рп, кцср, квр'!E501</f>
        <v>48.599999999999994</v>
      </c>
      <c r="E108" s="37">
        <f>' № 7  рп, кцср, квр'!F501</f>
        <v>48.6</v>
      </c>
    </row>
    <row r="109" spans="1:5" ht="31.5">
      <c r="A109" s="106">
        <v>1210300000</v>
      </c>
      <c r="B109" s="104"/>
      <c r="C109" s="105" t="s">
        <v>202</v>
      </c>
      <c r="D109" s="37">
        <f>D110+D113</f>
        <v>100</v>
      </c>
      <c r="E109" s="37">
        <f>E110+E113</f>
        <v>100</v>
      </c>
    </row>
    <row r="110" spans="1:5" ht="12.75">
      <c r="A110" s="104">
        <v>1210320010</v>
      </c>
      <c r="B110" s="104"/>
      <c r="C110" s="48" t="s">
        <v>242</v>
      </c>
      <c r="D110" s="37">
        <f aca="true" t="shared" si="11" ref="D110:E111">D111</f>
        <v>80</v>
      </c>
      <c r="E110" s="37">
        <f t="shared" si="11"/>
        <v>80</v>
      </c>
    </row>
    <row r="111" spans="1:5" ht="31.5">
      <c r="A111" s="104">
        <v>1210320010</v>
      </c>
      <c r="B111" s="106" t="s">
        <v>94</v>
      </c>
      <c r="C111" s="105" t="s">
        <v>95</v>
      </c>
      <c r="D111" s="37">
        <f t="shared" si="11"/>
        <v>80</v>
      </c>
      <c r="E111" s="37">
        <f t="shared" si="11"/>
        <v>80</v>
      </c>
    </row>
    <row r="112" spans="1:5" ht="12.75">
      <c r="A112" s="104">
        <v>1210320010</v>
      </c>
      <c r="B112" s="104">
        <v>610</v>
      </c>
      <c r="C112" s="105" t="s">
        <v>101</v>
      </c>
      <c r="D112" s="37">
        <f>' № 7  рп, кцср, квр'!E505</f>
        <v>80</v>
      </c>
      <c r="E112" s="37">
        <f>' № 7  рп, кцср, квр'!F505</f>
        <v>80</v>
      </c>
    </row>
    <row r="113" spans="1:5" ht="12.75">
      <c r="A113" s="134" t="s">
        <v>393</v>
      </c>
      <c r="B113" s="134"/>
      <c r="C113" s="48" t="s">
        <v>242</v>
      </c>
      <c r="D113" s="37">
        <f>D114</f>
        <v>20</v>
      </c>
      <c r="E113" s="37">
        <f>E114</f>
        <v>20</v>
      </c>
    </row>
    <row r="114" spans="1:5" ht="31.5">
      <c r="A114" s="134" t="s">
        <v>393</v>
      </c>
      <c r="B114" s="136" t="s">
        <v>94</v>
      </c>
      <c r="C114" s="135" t="s">
        <v>95</v>
      </c>
      <c r="D114" s="37">
        <f>D115</f>
        <v>20</v>
      </c>
      <c r="E114" s="37">
        <f>E115</f>
        <v>20</v>
      </c>
    </row>
    <row r="115" spans="1:5" ht="12.75">
      <c r="A115" s="134" t="s">
        <v>393</v>
      </c>
      <c r="B115" s="134">
        <v>610</v>
      </c>
      <c r="C115" s="135" t="s">
        <v>101</v>
      </c>
      <c r="D115" s="37">
        <f>' № 7  рп, кцср, квр'!E508</f>
        <v>20</v>
      </c>
      <c r="E115" s="37">
        <f>' № 7  рп, кцср, квр'!F508</f>
        <v>20</v>
      </c>
    </row>
    <row r="116" spans="1:5" ht="31.5">
      <c r="A116" s="106">
        <v>1220000000</v>
      </c>
      <c r="B116" s="104"/>
      <c r="C116" s="105" t="s">
        <v>145</v>
      </c>
      <c r="D116" s="37">
        <f>D117+D127+D133</f>
        <v>26388.2</v>
      </c>
      <c r="E116" s="37">
        <f>E117+E127+E133</f>
        <v>26367.600000000002</v>
      </c>
    </row>
    <row r="117" spans="1:5" ht="31.5">
      <c r="A117" s="104">
        <v>1220100000</v>
      </c>
      <c r="B117" s="104"/>
      <c r="C117" s="105" t="s">
        <v>203</v>
      </c>
      <c r="D117" s="37">
        <f aca="true" t="shared" si="12" ref="D117:E117">D121+D118+D124</f>
        <v>23951.4</v>
      </c>
      <c r="E117" s="37">
        <f t="shared" si="12"/>
        <v>23951.4</v>
      </c>
    </row>
    <row r="118" spans="1:5" ht="47.25">
      <c r="A118" s="104">
        <v>1220110680</v>
      </c>
      <c r="B118" s="104"/>
      <c r="C118" s="59" t="s">
        <v>277</v>
      </c>
      <c r="D118" s="37">
        <f aca="true" t="shared" si="13" ref="D118:E119">D119</f>
        <v>9550.1</v>
      </c>
      <c r="E118" s="37">
        <f t="shared" si="13"/>
        <v>9550.1</v>
      </c>
    </row>
    <row r="119" spans="1:5" ht="31.5">
      <c r="A119" s="104">
        <v>1220110680</v>
      </c>
      <c r="B119" s="106" t="s">
        <v>94</v>
      </c>
      <c r="C119" s="54" t="s">
        <v>95</v>
      </c>
      <c r="D119" s="37">
        <f t="shared" si="13"/>
        <v>9550.1</v>
      </c>
      <c r="E119" s="37">
        <f t="shared" si="13"/>
        <v>9550.1</v>
      </c>
    </row>
    <row r="120" spans="1:5" ht="12.75">
      <c r="A120" s="104">
        <v>1220110680</v>
      </c>
      <c r="B120" s="104">
        <v>610</v>
      </c>
      <c r="C120" s="54" t="s">
        <v>101</v>
      </c>
      <c r="D120" s="37">
        <f>' № 7  рп, кцср, квр'!E513</f>
        <v>9550.1</v>
      </c>
      <c r="E120" s="37">
        <f>' № 7  рп, кцср, квр'!F513</f>
        <v>9550.1</v>
      </c>
    </row>
    <row r="121" spans="1:5" ht="31.5">
      <c r="A121" s="104">
        <v>1220120010</v>
      </c>
      <c r="B121" s="104"/>
      <c r="C121" s="105" t="s">
        <v>121</v>
      </c>
      <c r="D121" s="37">
        <f aca="true" t="shared" si="14" ref="D121:E122">D122</f>
        <v>14304.8</v>
      </c>
      <c r="E121" s="37">
        <f t="shared" si="14"/>
        <v>14304.8</v>
      </c>
    </row>
    <row r="122" spans="1:5" ht="31.5">
      <c r="A122" s="104">
        <v>1220120010</v>
      </c>
      <c r="B122" s="106" t="s">
        <v>94</v>
      </c>
      <c r="C122" s="105" t="s">
        <v>95</v>
      </c>
      <c r="D122" s="37">
        <f t="shared" si="14"/>
        <v>14304.8</v>
      </c>
      <c r="E122" s="37">
        <f t="shared" si="14"/>
        <v>14304.8</v>
      </c>
    </row>
    <row r="123" spans="1:5" ht="12.75">
      <c r="A123" s="104">
        <v>1220120010</v>
      </c>
      <c r="B123" s="104">
        <v>610</v>
      </c>
      <c r="C123" s="105" t="s">
        <v>101</v>
      </c>
      <c r="D123" s="37">
        <f>' № 7  рп, кцср, квр'!E516</f>
        <v>14304.8</v>
      </c>
      <c r="E123" s="37">
        <f>' № 7  рп, кцср, квр'!F516</f>
        <v>14304.8</v>
      </c>
    </row>
    <row r="124" spans="1:5" ht="30.75" customHeight="1">
      <c r="A124" s="104" t="s">
        <v>292</v>
      </c>
      <c r="B124" s="104"/>
      <c r="C124" s="59" t="s">
        <v>291</v>
      </c>
      <c r="D124" s="37">
        <f aca="true" t="shared" si="15" ref="D124:E125">D125</f>
        <v>96.5</v>
      </c>
      <c r="E124" s="37">
        <f t="shared" si="15"/>
        <v>96.5</v>
      </c>
    </row>
    <row r="125" spans="1:5" ht="31.5">
      <c r="A125" s="104" t="s">
        <v>292</v>
      </c>
      <c r="B125" s="106" t="s">
        <v>94</v>
      </c>
      <c r="C125" s="54" t="s">
        <v>95</v>
      </c>
      <c r="D125" s="37">
        <f t="shared" si="15"/>
        <v>96.5</v>
      </c>
      <c r="E125" s="37">
        <f t="shared" si="15"/>
        <v>96.5</v>
      </c>
    </row>
    <row r="126" spans="1:5" ht="12.75">
      <c r="A126" s="104" t="s">
        <v>292</v>
      </c>
      <c r="B126" s="104">
        <v>610</v>
      </c>
      <c r="C126" s="54" t="s">
        <v>101</v>
      </c>
      <c r="D126" s="37">
        <f>' № 7  рп, кцср, квр'!E519</f>
        <v>96.5</v>
      </c>
      <c r="E126" s="37">
        <f>' № 7  рп, кцср, квр'!F519</f>
        <v>96.5</v>
      </c>
    </row>
    <row r="127" spans="1:5" ht="31.5">
      <c r="A127" s="104">
        <v>1220500000</v>
      </c>
      <c r="B127" s="104"/>
      <c r="C127" s="105" t="s">
        <v>204</v>
      </c>
      <c r="D127" s="37">
        <f aca="true" t="shared" si="16" ref="D127:E131">D128</f>
        <v>2136.8</v>
      </c>
      <c r="E127" s="37">
        <f t="shared" si="16"/>
        <v>2116.2000000000003</v>
      </c>
    </row>
    <row r="128" spans="1:5" ht="12.75">
      <c r="A128" s="104">
        <v>1220520320</v>
      </c>
      <c r="B128" s="104"/>
      <c r="C128" s="105" t="s">
        <v>146</v>
      </c>
      <c r="D128" s="37">
        <f aca="true" t="shared" si="17" ref="D128:E128">D131+D129</f>
        <v>2136.8</v>
      </c>
      <c r="E128" s="37">
        <f t="shared" si="17"/>
        <v>2116.2000000000003</v>
      </c>
    </row>
    <row r="129" spans="1:5" ht="31.5">
      <c r="A129" s="104">
        <v>1220520320</v>
      </c>
      <c r="B129" s="106" t="s">
        <v>69</v>
      </c>
      <c r="C129" s="105" t="s">
        <v>92</v>
      </c>
      <c r="D129" s="37">
        <f aca="true" t="shared" si="18" ref="D129:E129">D130</f>
        <v>24</v>
      </c>
      <c r="E129" s="37">
        <f t="shared" si="18"/>
        <v>3.4</v>
      </c>
    </row>
    <row r="130" spans="1:5" ht="31.5">
      <c r="A130" s="104">
        <v>1220520320</v>
      </c>
      <c r="B130" s="104">
        <v>240</v>
      </c>
      <c r="C130" s="105" t="s">
        <v>245</v>
      </c>
      <c r="D130" s="37">
        <f>' № 7  рп, кцср, квр'!E523</f>
        <v>24</v>
      </c>
      <c r="E130" s="37">
        <f>' № 7  рп, кцср, квр'!F523</f>
        <v>3.4</v>
      </c>
    </row>
    <row r="131" spans="1:5" ht="31.5">
      <c r="A131" s="104">
        <v>1220520320</v>
      </c>
      <c r="B131" s="106" t="s">
        <v>94</v>
      </c>
      <c r="C131" s="105" t="s">
        <v>95</v>
      </c>
      <c r="D131" s="37">
        <f t="shared" si="16"/>
        <v>2112.8</v>
      </c>
      <c r="E131" s="37">
        <f t="shared" si="16"/>
        <v>2112.8</v>
      </c>
    </row>
    <row r="132" spans="1:5" ht="12.75">
      <c r="A132" s="104">
        <v>1220520320</v>
      </c>
      <c r="B132" s="104">
        <v>610</v>
      </c>
      <c r="C132" s="105" t="s">
        <v>101</v>
      </c>
      <c r="D132" s="37">
        <f>' № 7  рп, кцср, квр'!E525</f>
        <v>2112.8</v>
      </c>
      <c r="E132" s="37">
        <f>' № 7  рп, кцср, квр'!F525</f>
        <v>2112.8</v>
      </c>
    </row>
    <row r="133" spans="1:5" ht="47.25">
      <c r="A133" s="148">
        <v>1220600000</v>
      </c>
      <c r="B133" s="148"/>
      <c r="C133" s="151" t="s">
        <v>399</v>
      </c>
      <c r="D133" s="37">
        <f aca="true" t="shared" si="19" ref="D133:E135">D134</f>
        <v>300</v>
      </c>
      <c r="E133" s="37">
        <f t="shared" si="19"/>
        <v>300</v>
      </c>
    </row>
    <row r="134" spans="1:5" ht="31.5">
      <c r="A134" s="148">
        <v>1220620020</v>
      </c>
      <c r="B134" s="74"/>
      <c r="C134" s="129" t="s">
        <v>366</v>
      </c>
      <c r="D134" s="37">
        <f t="shared" si="19"/>
        <v>300</v>
      </c>
      <c r="E134" s="37">
        <f t="shared" si="19"/>
        <v>300</v>
      </c>
    </row>
    <row r="135" spans="1:5" ht="31.5">
      <c r="A135" s="148">
        <v>1220620020</v>
      </c>
      <c r="B135" s="150" t="s">
        <v>94</v>
      </c>
      <c r="C135" s="152" t="s">
        <v>95</v>
      </c>
      <c r="D135" s="37">
        <f t="shared" si="19"/>
        <v>300</v>
      </c>
      <c r="E135" s="37">
        <f t="shared" si="19"/>
        <v>300</v>
      </c>
    </row>
    <row r="136" spans="1:5" ht="12.75">
      <c r="A136" s="148">
        <v>1220620020</v>
      </c>
      <c r="B136" s="148">
        <v>610</v>
      </c>
      <c r="C136" s="54" t="s">
        <v>101</v>
      </c>
      <c r="D136" s="37">
        <f>' № 7  рп, кцср, квр'!E529</f>
        <v>300</v>
      </c>
      <c r="E136" s="37">
        <f>' № 7  рп, кцср, квр'!F529</f>
        <v>300</v>
      </c>
    </row>
    <row r="137" spans="1:5" ht="12.75">
      <c r="A137" s="104">
        <v>1230000000</v>
      </c>
      <c r="B137" s="104"/>
      <c r="C137" s="105" t="s">
        <v>209</v>
      </c>
      <c r="D137" s="37">
        <f>D138+D142+D146</f>
        <v>13120.900000000001</v>
      </c>
      <c r="E137" s="37">
        <f>E138+E142+E146</f>
        <v>13118.400000000001</v>
      </c>
    </row>
    <row r="138" spans="1:5" ht="31.5">
      <c r="A138" s="104">
        <v>1230100000</v>
      </c>
      <c r="B138" s="104"/>
      <c r="C138" s="105" t="s">
        <v>210</v>
      </c>
      <c r="D138" s="37">
        <f aca="true" t="shared" si="20" ref="D138:E138">D139</f>
        <v>11839.6</v>
      </c>
      <c r="E138" s="37">
        <f t="shared" si="20"/>
        <v>11839.6</v>
      </c>
    </row>
    <row r="139" spans="1:5" ht="31.5">
      <c r="A139" s="104">
        <v>1230120010</v>
      </c>
      <c r="B139" s="104"/>
      <c r="C139" s="105" t="s">
        <v>121</v>
      </c>
      <c r="D139" s="37">
        <f aca="true" t="shared" si="21" ref="D139:E140">D140</f>
        <v>11839.6</v>
      </c>
      <c r="E139" s="37">
        <f t="shared" si="21"/>
        <v>11839.6</v>
      </c>
    </row>
    <row r="140" spans="1:5" ht="31.5">
      <c r="A140" s="104">
        <v>1230120010</v>
      </c>
      <c r="B140" s="106" t="s">
        <v>94</v>
      </c>
      <c r="C140" s="105" t="s">
        <v>95</v>
      </c>
      <c r="D140" s="37">
        <f t="shared" si="21"/>
        <v>11839.6</v>
      </c>
      <c r="E140" s="37">
        <f t="shared" si="21"/>
        <v>11839.6</v>
      </c>
    </row>
    <row r="141" spans="1:5" ht="12.75">
      <c r="A141" s="104">
        <v>1230120010</v>
      </c>
      <c r="B141" s="104">
        <v>610</v>
      </c>
      <c r="C141" s="105" t="s">
        <v>101</v>
      </c>
      <c r="D141" s="37">
        <f>' № 7  рп, кцср, квр'!E601</f>
        <v>11839.6</v>
      </c>
      <c r="E141" s="37">
        <f>' № 7  рп, кцср, квр'!F601</f>
        <v>11839.6</v>
      </c>
    </row>
    <row r="142" spans="1:5" ht="63">
      <c r="A142" s="104">
        <v>1230200000</v>
      </c>
      <c r="B142" s="104"/>
      <c r="C142" s="105" t="s">
        <v>211</v>
      </c>
      <c r="D142" s="37">
        <f aca="true" t="shared" si="22" ref="D142:E144">D143</f>
        <v>260.7</v>
      </c>
      <c r="E142" s="37">
        <f t="shared" si="22"/>
        <v>260.7</v>
      </c>
    </row>
    <row r="143" spans="1:5" ht="12.75">
      <c r="A143" s="104">
        <v>1230220040</v>
      </c>
      <c r="B143" s="104"/>
      <c r="C143" s="105" t="s">
        <v>212</v>
      </c>
      <c r="D143" s="37">
        <f t="shared" si="22"/>
        <v>260.7</v>
      </c>
      <c r="E143" s="37">
        <f t="shared" si="22"/>
        <v>260.7</v>
      </c>
    </row>
    <row r="144" spans="1:5" ht="31.5">
      <c r="A144" s="104">
        <v>1230220040</v>
      </c>
      <c r="B144" s="106" t="s">
        <v>94</v>
      </c>
      <c r="C144" s="105" t="s">
        <v>95</v>
      </c>
      <c r="D144" s="37">
        <f t="shared" si="22"/>
        <v>260.7</v>
      </c>
      <c r="E144" s="37">
        <f t="shared" si="22"/>
        <v>260.7</v>
      </c>
    </row>
    <row r="145" spans="1:5" ht="12.75">
      <c r="A145" s="104">
        <v>1230220040</v>
      </c>
      <c r="B145" s="104">
        <v>610</v>
      </c>
      <c r="C145" s="105" t="s">
        <v>101</v>
      </c>
      <c r="D145" s="37">
        <f>' № 7  рп, кцср, квр'!E605</f>
        <v>260.7</v>
      </c>
      <c r="E145" s="37">
        <f>' № 7  рп, кцср, квр'!F605</f>
        <v>260.7</v>
      </c>
    </row>
    <row r="146" spans="1:5" ht="31.5">
      <c r="A146" s="104">
        <v>1230600000</v>
      </c>
      <c r="B146" s="104"/>
      <c r="C146" s="105" t="s">
        <v>213</v>
      </c>
      <c r="D146" s="37">
        <f>D147+D154</f>
        <v>1020.6</v>
      </c>
      <c r="E146" s="37">
        <f>E147+E154</f>
        <v>1018.1</v>
      </c>
    </row>
    <row r="147" spans="1:5" ht="31.5">
      <c r="A147" s="104">
        <v>1230620300</v>
      </c>
      <c r="B147" s="104"/>
      <c r="C147" s="105" t="s">
        <v>214</v>
      </c>
      <c r="D147" s="37">
        <f aca="true" t="shared" si="23" ref="D147:E147">D148+D150+D152</f>
        <v>470.1</v>
      </c>
      <c r="E147" s="37">
        <f t="shared" si="23"/>
        <v>470.1</v>
      </c>
    </row>
    <row r="148" spans="1:5" ht="63">
      <c r="A148" s="104">
        <v>1230620300</v>
      </c>
      <c r="B148" s="106" t="s">
        <v>68</v>
      </c>
      <c r="C148" s="105" t="s">
        <v>1</v>
      </c>
      <c r="D148" s="37">
        <f aca="true" t="shared" si="24" ref="D148:E148">D149</f>
        <v>192.6</v>
      </c>
      <c r="E148" s="37">
        <f t="shared" si="24"/>
        <v>192.6</v>
      </c>
    </row>
    <row r="149" spans="1:5" ht="31.5">
      <c r="A149" s="104">
        <v>1230620300</v>
      </c>
      <c r="B149" s="104">
        <v>120</v>
      </c>
      <c r="C149" s="105" t="s">
        <v>246</v>
      </c>
      <c r="D149" s="37">
        <f>' № 7  рп, кцср, квр'!E609</f>
        <v>192.6</v>
      </c>
      <c r="E149" s="37">
        <f>' № 7  рп, кцср, квр'!F609</f>
        <v>192.6</v>
      </c>
    </row>
    <row r="150" spans="1:5" ht="31.5">
      <c r="A150" s="104">
        <v>1230620300</v>
      </c>
      <c r="B150" s="106" t="s">
        <v>69</v>
      </c>
      <c r="C150" s="105" t="s">
        <v>92</v>
      </c>
      <c r="D150" s="37">
        <f aca="true" t="shared" si="25" ref="D150:E150">D151</f>
        <v>154.9</v>
      </c>
      <c r="E150" s="37">
        <f t="shared" si="25"/>
        <v>154.9</v>
      </c>
    </row>
    <row r="151" spans="1:5" ht="31.5">
      <c r="A151" s="104">
        <v>1230620300</v>
      </c>
      <c r="B151" s="104">
        <v>240</v>
      </c>
      <c r="C151" s="105" t="s">
        <v>245</v>
      </c>
      <c r="D151" s="37">
        <f>' № 7  рп, кцср, квр'!E611</f>
        <v>154.9</v>
      </c>
      <c r="E151" s="37">
        <f>' № 7  рп, кцср, квр'!F611</f>
        <v>154.9</v>
      </c>
    </row>
    <row r="152" spans="1:5" ht="12.75">
      <c r="A152" s="104">
        <v>1230620300</v>
      </c>
      <c r="B152" s="104" t="s">
        <v>70</v>
      </c>
      <c r="C152" s="105" t="s">
        <v>71</v>
      </c>
      <c r="D152" s="37">
        <f aca="true" t="shared" si="26" ref="D152:E152">D153</f>
        <v>122.60000000000001</v>
      </c>
      <c r="E152" s="37">
        <f t="shared" si="26"/>
        <v>122.6</v>
      </c>
    </row>
    <row r="153" spans="1:5" ht="12.75">
      <c r="A153" s="104">
        <v>1230620300</v>
      </c>
      <c r="B153" s="104">
        <v>850</v>
      </c>
      <c r="C153" s="105" t="s">
        <v>97</v>
      </c>
      <c r="D153" s="37">
        <f>' № 7  рп, кцср, квр'!E613</f>
        <v>122.60000000000001</v>
      </c>
      <c r="E153" s="37">
        <f>' № 7  рп, кцср, квр'!F613</f>
        <v>122.6</v>
      </c>
    </row>
    <row r="154" spans="1:5" ht="12.75">
      <c r="A154" s="104">
        <v>1230620320</v>
      </c>
      <c r="B154" s="104"/>
      <c r="C154" s="105" t="s">
        <v>146</v>
      </c>
      <c r="D154" s="37">
        <f aca="true" t="shared" si="27" ref="D154:E154">D155+D157+D159</f>
        <v>550.5</v>
      </c>
      <c r="E154" s="37">
        <f t="shared" si="27"/>
        <v>548</v>
      </c>
    </row>
    <row r="155" spans="1:5" ht="63">
      <c r="A155" s="104">
        <v>1230620320</v>
      </c>
      <c r="B155" s="106" t="s">
        <v>68</v>
      </c>
      <c r="C155" s="105" t="s">
        <v>1</v>
      </c>
      <c r="D155" s="37">
        <f aca="true" t="shared" si="28" ref="D155:E155">D156</f>
        <v>224.09999999999997</v>
      </c>
      <c r="E155" s="37">
        <f t="shared" si="28"/>
        <v>221.6</v>
      </c>
    </row>
    <row r="156" spans="1:5" ht="31.5">
      <c r="A156" s="104">
        <v>1230620320</v>
      </c>
      <c r="B156" s="104">
        <v>120</v>
      </c>
      <c r="C156" s="105" t="s">
        <v>246</v>
      </c>
      <c r="D156" s="37">
        <f>' № 7  рп, кцср, квр'!E616</f>
        <v>224.09999999999997</v>
      </c>
      <c r="E156" s="37">
        <f>' № 7  рп, кцср, квр'!F616</f>
        <v>221.6</v>
      </c>
    </row>
    <row r="157" spans="1:5" ht="31.5">
      <c r="A157" s="104">
        <v>1230620320</v>
      </c>
      <c r="B157" s="106" t="s">
        <v>69</v>
      </c>
      <c r="C157" s="105" t="s">
        <v>92</v>
      </c>
      <c r="D157" s="37">
        <f aca="true" t="shared" si="29" ref="D157:E157">D158</f>
        <v>196.1</v>
      </c>
      <c r="E157" s="37">
        <f t="shared" si="29"/>
        <v>196.1</v>
      </c>
    </row>
    <row r="158" spans="1:5" ht="31.5">
      <c r="A158" s="104">
        <v>1230620320</v>
      </c>
      <c r="B158" s="104">
        <v>240</v>
      </c>
      <c r="C158" s="105" t="s">
        <v>245</v>
      </c>
      <c r="D158" s="37">
        <f>' № 7  рп, кцср, квр'!E618</f>
        <v>196.1</v>
      </c>
      <c r="E158" s="37">
        <f>' № 7  рп, кцср, квр'!F618</f>
        <v>196.1</v>
      </c>
    </row>
    <row r="159" spans="1:5" ht="31.5">
      <c r="A159" s="104">
        <v>1230620320</v>
      </c>
      <c r="B159" s="106" t="s">
        <v>94</v>
      </c>
      <c r="C159" s="105" t="s">
        <v>95</v>
      </c>
      <c r="D159" s="37">
        <f aca="true" t="shared" si="30" ref="D159:E159">D160</f>
        <v>130.3</v>
      </c>
      <c r="E159" s="37">
        <f t="shared" si="30"/>
        <v>130.3</v>
      </c>
    </row>
    <row r="160" spans="1:5" ht="12.75">
      <c r="A160" s="104">
        <v>1230620320</v>
      </c>
      <c r="B160" s="104">
        <v>610</v>
      </c>
      <c r="C160" s="105" t="s">
        <v>101</v>
      </c>
      <c r="D160" s="37">
        <f>' № 7  рп, кцср, квр'!E620</f>
        <v>130.3</v>
      </c>
      <c r="E160" s="37">
        <f>' № 7  рп, кцср, квр'!F620</f>
        <v>130.3</v>
      </c>
    </row>
    <row r="161" spans="1:5" ht="31.5">
      <c r="A161" s="106">
        <v>1240000000</v>
      </c>
      <c r="B161" s="104"/>
      <c r="C161" s="105" t="s">
        <v>133</v>
      </c>
      <c r="D161" s="37">
        <f>D162+D166+D190+D180+D200+D208</f>
        <v>12199.199999999999</v>
      </c>
      <c r="E161" s="37">
        <f>E162+E166+E190+E180+E200+E208</f>
        <v>12044.900000000001</v>
      </c>
    </row>
    <row r="162" spans="1:5" ht="31.5">
      <c r="A162" s="106">
        <v>1240100000</v>
      </c>
      <c r="B162" s="104"/>
      <c r="C162" s="105" t="s">
        <v>206</v>
      </c>
      <c r="D162" s="37">
        <f aca="true" t="shared" si="31" ref="D162:E164">D163</f>
        <v>400</v>
      </c>
      <c r="E162" s="37">
        <f t="shared" si="31"/>
        <v>350</v>
      </c>
    </row>
    <row r="163" spans="1:5" ht="31.5">
      <c r="A163" s="106">
        <v>1240120330</v>
      </c>
      <c r="B163" s="104"/>
      <c r="C163" s="105" t="s">
        <v>150</v>
      </c>
      <c r="D163" s="37">
        <f t="shared" si="31"/>
        <v>400</v>
      </c>
      <c r="E163" s="37">
        <f t="shared" si="31"/>
        <v>350</v>
      </c>
    </row>
    <row r="164" spans="1:5" ht="31.5">
      <c r="A164" s="106">
        <v>1240120330</v>
      </c>
      <c r="B164" s="106" t="s">
        <v>94</v>
      </c>
      <c r="C164" s="105" t="s">
        <v>95</v>
      </c>
      <c r="D164" s="37">
        <f t="shared" si="31"/>
        <v>400</v>
      </c>
      <c r="E164" s="37">
        <f t="shared" si="31"/>
        <v>350</v>
      </c>
    </row>
    <row r="165" spans="1:5" ht="31.5">
      <c r="A165" s="106">
        <v>1240120330</v>
      </c>
      <c r="B165" s="104">
        <v>630</v>
      </c>
      <c r="C165" s="105" t="s">
        <v>151</v>
      </c>
      <c r="D165" s="37">
        <f>' № 7  рп, кцср, квр'!E559</f>
        <v>400</v>
      </c>
      <c r="E165" s="37">
        <f>' № 7  рп, кцср, квр'!F559</f>
        <v>350</v>
      </c>
    </row>
    <row r="166" spans="1:5" ht="31.5">
      <c r="A166" s="106">
        <v>1240200000</v>
      </c>
      <c r="B166" s="104"/>
      <c r="C166" s="105" t="s">
        <v>152</v>
      </c>
      <c r="D166" s="37">
        <f>D172+D167+D177</f>
        <v>228.89999999999998</v>
      </c>
      <c r="E166" s="37">
        <f>E172+E167+E177</f>
        <v>168.2</v>
      </c>
    </row>
    <row r="167" spans="1:5" ht="12.75">
      <c r="A167" s="104">
        <v>1240220340</v>
      </c>
      <c r="B167" s="104"/>
      <c r="C167" s="48" t="s">
        <v>158</v>
      </c>
      <c r="D167" s="37">
        <f aca="true" t="shared" si="32" ref="D167:E167">D168+D170</f>
        <v>115.19999999999999</v>
      </c>
      <c r="E167" s="37">
        <f t="shared" si="32"/>
        <v>89.7</v>
      </c>
    </row>
    <row r="168" spans="1:5" ht="31.5">
      <c r="A168" s="104">
        <v>1240220340</v>
      </c>
      <c r="B168" s="106" t="s">
        <v>69</v>
      </c>
      <c r="C168" s="105" t="s">
        <v>92</v>
      </c>
      <c r="D168" s="37">
        <f aca="true" t="shared" si="33" ref="D168:E168">D169</f>
        <v>90.5</v>
      </c>
      <c r="E168" s="37">
        <f t="shared" si="33"/>
        <v>89.7</v>
      </c>
    </row>
    <row r="169" spans="1:5" ht="31.5">
      <c r="A169" s="104">
        <v>1240220340</v>
      </c>
      <c r="B169" s="104">
        <v>240</v>
      </c>
      <c r="C169" s="48" t="s">
        <v>245</v>
      </c>
      <c r="D169" s="37">
        <f>' № 7  рп, кцср, квр'!E71</f>
        <v>90.5</v>
      </c>
      <c r="E169" s="37">
        <f>' № 7  рп, кцср, квр'!F71</f>
        <v>89.7</v>
      </c>
    </row>
    <row r="170" spans="1:5" ht="12.75">
      <c r="A170" s="104">
        <v>1240220340</v>
      </c>
      <c r="B170" s="106" t="s">
        <v>73</v>
      </c>
      <c r="C170" s="105" t="s">
        <v>74</v>
      </c>
      <c r="D170" s="37">
        <f aca="true" t="shared" si="34" ref="D170:E170">D171</f>
        <v>24.699999999999996</v>
      </c>
      <c r="E170" s="37">
        <f t="shared" si="34"/>
        <v>0</v>
      </c>
    </row>
    <row r="171" spans="1:5" ht="12.75">
      <c r="A171" s="104">
        <v>1240220340</v>
      </c>
      <c r="B171" s="104">
        <v>350</v>
      </c>
      <c r="C171" s="46" t="s">
        <v>159</v>
      </c>
      <c r="D171" s="37">
        <f>' № 7  рп, кцср, квр'!E73</f>
        <v>24.699999999999996</v>
      </c>
      <c r="E171" s="37">
        <f>' № 7  рп, кцср, квр'!F73</f>
        <v>0</v>
      </c>
    </row>
    <row r="172" spans="1:5" ht="31.5">
      <c r="A172" s="106">
        <v>1240220350</v>
      </c>
      <c r="B172" s="104"/>
      <c r="C172" s="105" t="s">
        <v>207</v>
      </c>
      <c r="D172" s="37">
        <f aca="true" t="shared" si="35" ref="D172">D173+D175</f>
        <v>107.1</v>
      </c>
      <c r="E172" s="37">
        <f aca="true" t="shared" si="36" ref="E172">E173+E175</f>
        <v>72</v>
      </c>
    </row>
    <row r="173" spans="1:5" ht="31.5">
      <c r="A173" s="106">
        <v>1240220350</v>
      </c>
      <c r="B173" s="106" t="s">
        <v>69</v>
      </c>
      <c r="C173" s="105" t="s">
        <v>92</v>
      </c>
      <c r="D173" s="37">
        <f aca="true" t="shared" si="37" ref="D173:E173">D174</f>
        <v>3.1</v>
      </c>
      <c r="E173" s="37">
        <f t="shared" si="37"/>
        <v>0</v>
      </c>
    </row>
    <row r="174" spans="1:5" ht="31.5">
      <c r="A174" s="106">
        <v>1240220350</v>
      </c>
      <c r="B174" s="104">
        <v>240</v>
      </c>
      <c r="C174" s="105" t="s">
        <v>245</v>
      </c>
      <c r="D174" s="37">
        <f>' № 7  рп, кцср, квр'!E563</f>
        <v>3.1</v>
      </c>
      <c r="E174" s="37">
        <f>' № 7  рп, кцср, квр'!F563</f>
        <v>0</v>
      </c>
    </row>
    <row r="175" spans="1:5" ht="12.75">
      <c r="A175" s="106">
        <v>1240220350</v>
      </c>
      <c r="B175" s="104" t="s">
        <v>73</v>
      </c>
      <c r="C175" s="105" t="s">
        <v>74</v>
      </c>
      <c r="D175" s="37">
        <f aca="true" t="shared" si="38" ref="D175:E175">D176</f>
        <v>104</v>
      </c>
      <c r="E175" s="37">
        <f t="shared" si="38"/>
        <v>72</v>
      </c>
    </row>
    <row r="176" spans="1:5" ht="12.75">
      <c r="A176" s="106">
        <v>1240220350</v>
      </c>
      <c r="B176" s="104" t="s">
        <v>147</v>
      </c>
      <c r="C176" s="105" t="s">
        <v>148</v>
      </c>
      <c r="D176" s="37">
        <f>' № 7  рп, кцср, квр'!E565</f>
        <v>104</v>
      </c>
      <c r="E176" s="37">
        <f>' № 7  рп, кцср, квр'!F565</f>
        <v>72</v>
      </c>
    </row>
    <row r="177" spans="1:5" ht="31.5">
      <c r="A177" s="104">
        <v>1240220360</v>
      </c>
      <c r="B177" s="104"/>
      <c r="C177" s="46" t="s">
        <v>249</v>
      </c>
      <c r="D177" s="37">
        <f aca="true" t="shared" si="39" ref="D177:E178">D178</f>
        <v>6.6</v>
      </c>
      <c r="E177" s="37">
        <f t="shared" si="39"/>
        <v>6.5</v>
      </c>
    </row>
    <row r="178" spans="1:5" ht="12.75">
      <c r="A178" s="104">
        <v>1240220360</v>
      </c>
      <c r="B178" s="106" t="s">
        <v>73</v>
      </c>
      <c r="C178" s="105" t="s">
        <v>74</v>
      </c>
      <c r="D178" s="37">
        <f t="shared" si="39"/>
        <v>6.6</v>
      </c>
      <c r="E178" s="37">
        <f t="shared" si="39"/>
        <v>6.5</v>
      </c>
    </row>
    <row r="179" spans="1:5" ht="12.75">
      <c r="A179" s="104">
        <v>1240220360</v>
      </c>
      <c r="B179" s="104">
        <v>350</v>
      </c>
      <c r="C179" s="46" t="s">
        <v>159</v>
      </c>
      <c r="D179" s="37">
        <f>' № 7  рп, кцср, квр'!E76</f>
        <v>6.6</v>
      </c>
      <c r="E179" s="37">
        <f>' № 7  рп, кцср, квр'!F76</f>
        <v>6.5</v>
      </c>
    </row>
    <row r="180" spans="1:5" ht="12.75">
      <c r="A180" s="104">
        <v>1240300000</v>
      </c>
      <c r="B180" s="104"/>
      <c r="C180" s="105" t="s">
        <v>208</v>
      </c>
      <c r="D180" s="37">
        <f aca="true" t="shared" si="40" ref="D180:E180">D187+D184+D181</f>
        <v>1563.9</v>
      </c>
      <c r="E180" s="37">
        <f t="shared" si="40"/>
        <v>1563.9</v>
      </c>
    </row>
    <row r="181" spans="1:5" ht="47.25">
      <c r="A181" s="104">
        <v>1240310320</v>
      </c>
      <c r="B181" s="104"/>
      <c r="C181" s="54" t="s">
        <v>286</v>
      </c>
      <c r="D181" s="37">
        <f aca="true" t="shared" si="41" ref="D181:E182">D182</f>
        <v>471.4</v>
      </c>
      <c r="E181" s="37">
        <f t="shared" si="41"/>
        <v>471.4</v>
      </c>
    </row>
    <row r="182" spans="1:5" ht="31.5">
      <c r="A182" s="104">
        <v>1240310320</v>
      </c>
      <c r="B182" s="106" t="s">
        <v>94</v>
      </c>
      <c r="C182" s="105" t="s">
        <v>95</v>
      </c>
      <c r="D182" s="37">
        <f t="shared" si="41"/>
        <v>471.4</v>
      </c>
      <c r="E182" s="37">
        <f t="shared" si="41"/>
        <v>471.4</v>
      </c>
    </row>
    <row r="183" spans="1:5" ht="31.5">
      <c r="A183" s="104">
        <v>1240310320</v>
      </c>
      <c r="B183" s="104">
        <v>630</v>
      </c>
      <c r="C183" s="105" t="s">
        <v>151</v>
      </c>
      <c r="D183" s="37">
        <f>' № 7  рп, кцср, квр'!E657</f>
        <v>471.4</v>
      </c>
      <c r="E183" s="37">
        <f>' № 7  рп, кцср, квр'!F657</f>
        <v>471.4</v>
      </c>
    </row>
    <row r="184" spans="1:5" ht="47.25">
      <c r="A184" s="104">
        <v>1240320400</v>
      </c>
      <c r="B184" s="104"/>
      <c r="C184" s="105" t="s">
        <v>287</v>
      </c>
      <c r="D184" s="37">
        <f aca="true" t="shared" si="42" ref="D184:E185">D185</f>
        <v>456</v>
      </c>
      <c r="E184" s="37">
        <f t="shared" si="42"/>
        <v>456</v>
      </c>
    </row>
    <row r="185" spans="1:5" ht="31.5">
      <c r="A185" s="104">
        <v>1240320400</v>
      </c>
      <c r="B185" s="106" t="s">
        <v>69</v>
      </c>
      <c r="C185" s="105" t="s">
        <v>92</v>
      </c>
      <c r="D185" s="37">
        <f t="shared" si="42"/>
        <v>456</v>
      </c>
      <c r="E185" s="37">
        <f t="shared" si="42"/>
        <v>456</v>
      </c>
    </row>
    <row r="186" spans="1:5" ht="31.5">
      <c r="A186" s="104">
        <v>1240320400</v>
      </c>
      <c r="B186" s="104">
        <v>240</v>
      </c>
      <c r="C186" s="105" t="s">
        <v>245</v>
      </c>
      <c r="D186" s="37">
        <f>' № 7  рп, кцср, квр'!E660</f>
        <v>456</v>
      </c>
      <c r="E186" s="37">
        <f>' № 7  рп, кцср, квр'!F660</f>
        <v>456</v>
      </c>
    </row>
    <row r="187" spans="1:5" ht="47.25">
      <c r="A187" s="104" t="s">
        <v>154</v>
      </c>
      <c r="B187" s="104"/>
      <c r="C187" s="105" t="s">
        <v>153</v>
      </c>
      <c r="D187" s="37">
        <f aca="true" t="shared" si="43" ref="D187:E188">D188</f>
        <v>636.5</v>
      </c>
      <c r="E187" s="37">
        <f t="shared" si="43"/>
        <v>636.5</v>
      </c>
    </row>
    <row r="188" spans="1:5" ht="31.5">
      <c r="A188" s="104" t="s">
        <v>154</v>
      </c>
      <c r="B188" s="106" t="s">
        <v>94</v>
      </c>
      <c r="C188" s="105" t="s">
        <v>95</v>
      </c>
      <c r="D188" s="37">
        <f t="shared" si="43"/>
        <v>636.5</v>
      </c>
      <c r="E188" s="37">
        <f t="shared" si="43"/>
        <v>636.5</v>
      </c>
    </row>
    <row r="189" spans="1:5" ht="31.5">
      <c r="A189" s="104" t="s">
        <v>154</v>
      </c>
      <c r="B189" s="104">
        <v>630</v>
      </c>
      <c r="C189" s="105" t="s">
        <v>151</v>
      </c>
      <c r="D189" s="37">
        <f>' № 7  рп, кцср, квр'!E663</f>
        <v>636.5</v>
      </c>
      <c r="E189" s="37">
        <f>' № 7  рп, кцср, квр'!F663</f>
        <v>636.5</v>
      </c>
    </row>
    <row r="190" spans="1:5" ht="12.75">
      <c r="A190" s="104">
        <v>1240400000</v>
      </c>
      <c r="B190" s="104"/>
      <c r="C190" s="105" t="s">
        <v>205</v>
      </c>
      <c r="D190" s="37">
        <f>D191+D197+D194</f>
        <v>9266.300000000001</v>
      </c>
      <c r="E190" s="37">
        <f>E191+E197+E194</f>
        <v>9236.300000000001</v>
      </c>
    </row>
    <row r="191" spans="1:5" ht="31.5">
      <c r="A191" s="104">
        <v>1240420380</v>
      </c>
      <c r="B191" s="104"/>
      <c r="C191" s="105" t="s">
        <v>149</v>
      </c>
      <c r="D191" s="37">
        <f aca="true" t="shared" si="44" ref="D191:E191">D192</f>
        <v>100</v>
      </c>
      <c r="E191" s="37">
        <f t="shared" si="44"/>
        <v>70</v>
      </c>
    </row>
    <row r="192" spans="1:5" ht="12.75">
      <c r="A192" s="104">
        <v>1240420380</v>
      </c>
      <c r="B192" s="106" t="s">
        <v>73</v>
      </c>
      <c r="C192" s="105" t="s">
        <v>74</v>
      </c>
      <c r="D192" s="37">
        <f aca="true" t="shared" si="45" ref="D192:E192">D193</f>
        <v>100</v>
      </c>
      <c r="E192" s="37">
        <f t="shared" si="45"/>
        <v>70</v>
      </c>
    </row>
    <row r="193" spans="1:5" ht="31.5">
      <c r="A193" s="104">
        <v>1240420380</v>
      </c>
      <c r="B193" s="106" t="s">
        <v>98</v>
      </c>
      <c r="C193" s="105" t="s">
        <v>99</v>
      </c>
      <c r="D193" s="37">
        <f>' № 7  рп, кцср, квр'!E569</f>
        <v>100</v>
      </c>
      <c r="E193" s="37">
        <f>' № 7  рп, кцср, квр'!F569</f>
        <v>70</v>
      </c>
    </row>
    <row r="194" spans="1:5" ht="47.25">
      <c r="A194" s="104">
        <v>1240420390</v>
      </c>
      <c r="B194" s="104"/>
      <c r="C194" s="48" t="s">
        <v>67</v>
      </c>
      <c r="D194" s="37">
        <f>D195</f>
        <v>798.0999999999999</v>
      </c>
      <c r="E194" s="37">
        <f>E195</f>
        <v>798.1</v>
      </c>
    </row>
    <row r="195" spans="1:5" ht="12.75">
      <c r="A195" s="104">
        <v>1240420390</v>
      </c>
      <c r="B195" s="106" t="s">
        <v>73</v>
      </c>
      <c r="C195" s="105" t="s">
        <v>74</v>
      </c>
      <c r="D195" s="37">
        <f aca="true" t="shared" si="46" ref="D195:E195">D196</f>
        <v>798.0999999999999</v>
      </c>
      <c r="E195" s="37">
        <f t="shared" si="46"/>
        <v>798.1</v>
      </c>
    </row>
    <row r="196" spans="1:5" ht="12.75">
      <c r="A196" s="104">
        <v>1240420390</v>
      </c>
      <c r="B196" s="106" t="s">
        <v>147</v>
      </c>
      <c r="C196" s="105" t="s">
        <v>148</v>
      </c>
      <c r="D196" s="37">
        <f>' № 7  рп, кцср, квр'!E552</f>
        <v>798.0999999999999</v>
      </c>
      <c r="E196" s="37">
        <f>' № 7  рп, кцср, квр'!F552</f>
        <v>798.1</v>
      </c>
    </row>
    <row r="197" spans="1:5" ht="12.75">
      <c r="A197" s="104" t="s">
        <v>244</v>
      </c>
      <c r="B197" s="104"/>
      <c r="C197" s="105" t="s">
        <v>243</v>
      </c>
      <c r="D197" s="37">
        <f aca="true" t="shared" si="47" ref="D197:E197">D198</f>
        <v>8368.2</v>
      </c>
      <c r="E197" s="37">
        <f t="shared" si="47"/>
        <v>8368.2</v>
      </c>
    </row>
    <row r="198" spans="1:5" ht="12.75">
      <c r="A198" s="104" t="s">
        <v>244</v>
      </c>
      <c r="B198" s="1" t="s">
        <v>73</v>
      </c>
      <c r="C198" s="46" t="s">
        <v>74</v>
      </c>
      <c r="D198" s="37">
        <f aca="true" t="shared" si="48" ref="D198:E198">D199</f>
        <v>8368.2</v>
      </c>
      <c r="E198" s="37">
        <f t="shared" si="48"/>
        <v>8368.2</v>
      </c>
    </row>
    <row r="199" spans="1:5" ht="31.5">
      <c r="A199" s="104" t="s">
        <v>244</v>
      </c>
      <c r="B199" s="1" t="s">
        <v>98</v>
      </c>
      <c r="C199" s="46" t="s">
        <v>99</v>
      </c>
      <c r="D199" s="37">
        <f>' № 7  рп, кцср, квр'!E584</f>
        <v>8368.2</v>
      </c>
      <c r="E199" s="37">
        <f>' № 7  рп, кцср, квр'!F584</f>
        <v>8368.2</v>
      </c>
    </row>
    <row r="200" spans="1:5" ht="12.75">
      <c r="A200" s="104">
        <v>1240500000</v>
      </c>
      <c r="B200" s="104"/>
      <c r="C200" s="105" t="s">
        <v>134</v>
      </c>
      <c r="D200" s="37">
        <f aca="true" t="shared" si="49" ref="D200">D201+D205</f>
        <v>667.3</v>
      </c>
      <c r="E200" s="37">
        <f aca="true" t="shared" si="50" ref="E200">E201+E205</f>
        <v>657.4</v>
      </c>
    </row>
    <row r="201" spans="1:5" ht="31.5">
      <c r="A201" s="104">
        <v>1240520410</v>
      </c>
      <c r="B201" s="104"/>
      <c r="C201" s="105" t="s">
        <v>222</v>
      </c>
      <c r="D201" s="37">
        <f aca="true" t="shared" si="51" ref="D201:E201">D202</f>
        <v>205.8</v>
      </c>
      <c r="E201" s="37">
        <f t="shared" si="51"/>
        <v>205.7</v>
      </c>
    </row>
    <row r="202" spans="1:5" ht="12.75">
      <c r="A202" s="104">
        <v>1240520410</v>
      </c>
      <c r="B202" s="104" t="s">
        <v>70</v>
      </c>
      <c r="C202" s="105" t="s">
        <v>71</v>
      </c>
      <c r="D202" s="37">
        <f aca="true" t="shared" si="52" ref="D202">D203+D204</f>
        <v>205.8</v>
      </c>
      <c r="E202" s="37">
        <f aca="true" t="shared" si="53" ref="E202">E203+E204</f>
        <v>205.7</v>
      </c>
    </row>
    <row r="203" spans="1:5" ht="12.75">
      <c r="A203" s="104">
        <v>1240520410</v>
      </c>
      <c r="B203" s="104">
        <v>850</v>
      </c>
      <c r="C203" s="105" t="s">
        <v>97</v>
      </c>
      <c r="D203" s="37">
        <f>' № 7  рп, кцср, квр'!E80</f>
        <v>117.2</v>
      </c>
      <c r="E203" s="37">
        <f>' № 7  рп, кцср, квр'!F80</f>
        <v>117.1</v>
      </c>
    </row>
    <row r="204" spans="1:5" ht="31.5">
      <c r="A204" s="104">
        <v>1240520410</v>
      </c>
      <c r="B204" s="104">
        <v>860</v>
      </c>
      <c r="C204" s="105" t="s">
        <v>248</v>
      </c>
      <c r="D204" s="37">
        <f>' № 7  рп, кцср, квр'!E58</f>
        <v>88.6</v>
      </c>
      <c r="E204" s="37">
        <f>' № 7  рп, кцср, квр'!F58</f>
        <v>88.6</v>
      </c>
    </row>
    <row r="205" spans="1:5" ht="31.5">
      <c r="A205" s="104">
        <v>1240520460</v>
      </c>
      <c r="B205" s="104"/>
      <c r="C205" s="105" t="s">
        <v>160</v>
      </c>
      <c r="D205" s="37">
        <f aca="true" t="shared" si="54" ref="D205:E206">D206</f>
        <v>461.5</v>
      </c>
      <c r="E205" s="37">
        <f t="shared" si="54"/>
        <v>451.7</v>
      </c>
    </row>
    <row r="206" spans="1:5" ht="31.5">
      <c r="A206" s="104">
        <v>1240520460</v>
      </c>
      <c r="B206" s="106" t="s">
        <v>69</v>
      </c>
      <c r="C206" s="105" t="s">
        <v>92</v>
      </c>
      <c r="D206" s="37">
        <f t="shared" si="54"/>
        <v>461.5</v>
      </c>
      <c r="E206" s="37">
        <f t="shared" si="54"/>
        <v>451.7</v>
      </c>
    </row>
    <row r="207" spans="1:5" ht="31.5">
      <c r="A207" s="104">
        <v>1240520460</v>
      </c>
      <c r="B207" s="104">
        <v>240</v>
      </c>
      <c r="C207" s="105" t="s">
        <v>245</v>
      </c>
      <c r="D207" s="37">
        <f>' № 7  рп, кцср, квр'!E83</f>
        <v>461.5</v>
      </c>
      <c r="E207" s="37">
        <f>' № 7  рп, кцср, квр'!F83</f>
        <v>451.7</v>
      </c>
    </row>
    <row r="208" spans="1:5" ht="31.5">
      <c r="A208" s="104" t="s">
        <v>135</v>
      </c>
      <c r="B208" s="10"/>
      <c r="C208" s="48" t="s">
        <v>143</v>
      </c>
      <c r="D208" s="37">
        <f>D209+D212+D215</f>
        <v>72.8</v>
      </c>
      <c r="E208" s="37">
        <f>E209+E212+E215</f>
        <v>69.1</v>
      </c>
    </row>
    <row r="209" spans="1:5" ht="16.5" customHeight="1">
      <c r="A209" s="10" t="s">
        <v>137</v>
      </c>
      <c r="B209" s="10"/>
      <c r="C209" s="105" t="s">
        <v>136</v>
      </c>
      <c r="D209" s="37">
        <f aca="true" t="shared" si="55" ref="D209:E210">D210</f>
        <v>22.8</v>
      </c>
      <c r="E209" s="37">
        <f t="shared" si="55"/>
        <v>22.8</v>
      </c>
    </row>
    <row r="210" spans="1:5" ht="31.5">
      <c r="A210" s="10" t="s">
        <v>137</v>
      </c>
      <c r="B210" s="106" t="s">
        <v>69</v>
      </c>
      <c r="C210" s="105" t="s">
        <v>92</v>
      </c>
      <c r="D210" s="37">
        <f t="shared" si="55"/>
        <v>22.8</v>
      </c>
      <c r="E210" s="37">
        <f t="shared" si="55"/>
        <v>22.8</v>
      </c>
    </row>
    <row r="211" spans="1:5" ht="31.5">
      <c r="A211" s="10" t="s">
        <v>137</v>
      </c>
      <c r="B211" s="104">
        <v>240</v>
      </c>
      <c r="C211" s="105" t="s">
        <v>245</v>
      </c>
      <c r="D211" s="37">
        <f>' № 7  рп, кцср, квр'!E454</f>
        <v>22.8</v>
      </c>
      <c r="E211" s="37">
        <f>' № 7  рп, кцср, квр'!F454</f>
        <v>22.8</v>
      </c>
    </row>
    <row r="212" spans="1:5" ht="18" customHeight="1">
      <c r="A212" s="10" t="s">
        <v>139</v>
      </c>
      <c r="B212" s="10"/>
      <c r="C212" s="105" t="s">
        <v>138</v>
      </c>
      <c r="D212" s="37">
        <f aca="true" t="shared" si="56" ref="D212:E212">D213</f>
        <v>14</v>
      </c>
      <c r="E212" s="37">
        <f t="shared" si="56"/>
        <v>10.3</v>
      </c>
    </row>
    <row r="213" spans="1:5" ht="31.5">
      <c r="A213" s="10" t="s">
        <v>139</v>
      </c>
      <c r="B213" s="106" t="s">
        <v>69</v>
      </c>
      <c r="C213" s="105" t="s">
        <v>92</v>
      </c>
      <c r="D213" s="37">
        <f aca="true" t="shared" si="57" ref="D213:E213">D214</f>
        <v>14</v>
      </c>
      <c r="E213" s="37">
        <f t="shared" si="57"/>
        <v>10.3</v>
      </c>
    </row>
    <row r="214" spans="1:5" ht="31.5">
      <c r="A214" s="10" t="s">
        <v>139</v>
      </c>
      <c r="B214" s="104">
        <v>240</v>
      </c>
      <c r="C214" s="105" t="s">
        <v>245</v>
      </c>
      <c r="D214" s="37">
        <f>' № 7  рп, кцср, квр'!E457</f>
        <v>14</v>
      </c>
      <c r="E214" s="37">
        <f>' № 7  рп, кцср, квр'!F457</f>
        <v>10.3</v>
      </c>
    </row>
    <row r="215" spans="1:5" ht="12.75">
      <c r="A215" s="10" t="s">
        <v>216</v>
      </c>
      <c r="B215" s="10"/>
      <c r="C215" s="105" t="s">
        <v>140</v>
      </c>
      <c r="D215" s="37">
        <f aca="true" t="shared" si="58" ref="D215:E215">D216</f>
        <v>36</v>
      </c>
      <c r="E215" s="37">
        <f t="shared" si="58"/>
        <v>36</v>
      </c>
    </row>
    <row r="216" spans="1:5" ht="12.75">
      <c r="A216" s="10" t="s">
        <v>216</v>
      </c>
      <c r="B216" s="106" t="s">
        <v>73</v>
      </c>
      <c r="C216" s="105" t="s">
        <v>74</v>
      </c>
      <c r="D216" s="37">
        <f aca="true" t="shared" si="59" ref="D216:E216">D217</f>
        <v>36</v>
      </c>
      <c r="E216" s="37">
        <f t="shared" si="59"/>
        <v>36</v>
      </c>
    </row>
    <row r="217" spans="1:5" ht="12.75">
      <c r="A217" s="10" t="s">
        <v>216</v>
      </c>
      <c r="B217" s="10" t="s">
        <v>141</v>
      </c>
      <c r="C217" s="105" t="s">
        <v>142</v>
      </c>
      <c r="D217" s="37">
        <f>' № 7  рп, кцср, квр'!E460</f>
        <v>36</v>
      </c>
      <c r="E217" s="37">
        <f>' № 7  рп, кцср, квр'!F460</f>
        <v>36</v>
      </c>
    </row>
    <row r="218" spans="1:5" ht="31.5">
      <c r="A218" s="104">
        <v>1260000000</v>
      </c>
      <c r="B218" s="104"/>
      <c r="C218" s="105" t="s">
        <v>304</v>
      </c>
      <c r="D218" s="37">
        <f>D219+D223+D227</f>
        <v>16085.1</v>
      </c>
      <c r="E218" s="37">
        <f>E219+E223+E227</f>
        <v>16085.1</v>
      </c>
    </row>
    <row r="219" spans="1:5" ht="31.5">
      <c r="A219" s="104">
        <v>1260100000</v>
      </c>
      <c r="B219" s="104"/>
      <c r="C219" s="105" t="s">
        <v>305</v>
      </c>
      <c r="D219" s="37">
        <f aca="true" t="shared" si="60" ref="D219:E221">D220</f>
        <v>15451.7</v>
      </c>
      <c r="E219" s="37">
        <f t="shared" si="60"/>
        <v>15451.7</v>
      </c>
    </row>
    <row r="220" spans="1:5" ht="31.5">
      <c r="A220" s="104">
        <v>1260120010</v>
      </c>
      <c r="B220" s="104"/>
      <c r="C220" s="105" t="s">
        <v>121</v>
      </c>
      <c r="D220" s="37">
        <f t="shared" si="60"/>
        <v>15451.7</v>
      </c>
      <c r="E220" s="37">
        <f t="shared" si="60"/>
        <v>15451.7</v>
      </c>
    </row>
    <row r="221" spans="1:5" ht="31.5">
      <c r="A221" s="104">
        <v>1260120010</v>
      </c>
      <c r="B221" s="106" t="s">
        <v>94</v>
      </c>
      <c r="C221" s="105" t="s">
        <v>95</v>
      </c>
      <c r="D221" s="37">
        <f t="shared" si="60"/>
        <v>15451.7</v>
      </c>
      <c r="E221" s="37">
        <f t="shared" si="60"/>
        <v>15451.7</v>
      </c>
    </row>
    <row r="222" spans="1:5" ht="12.75">
      <c r="A222" s="104">
        <v>1260120010</v>
      </c>
      <c r="B222" s="104">
        <v>610</v>
      </c>
      <c r="C222" s="105" t="s">
        <v>101</v>
      </c>
      <c r="D222" s="37">
        <f>' № 7  рп, кцср, квр'!E627</f>
        <v>15451.7</v>
      </c>
      <c r="E222" s="37">
        <f>' № 7  рп, кцср, квр'!F627</f>
        <v>15451.7</v>
      </c>
    </row>
    <row r="223" spans="1:5" ht="63">
      <c r="A223" s="104">
        <v>1260500000</v>
      </c>
      <c r="B223" s="104"/>
      <c r="C223" s="105" t="s">
        <v>365</v>
      </c>
      <c r="D223" s="37">
        <f aca="true" t="shared" si="61" ref="D223:E225">D224</f>
        <v>300</v>
      </c>
      <c r="E223" s="37">
        <f t="shared" si="61"/>
        <v>300</v>
      </c>
    </row>
    <row r="224" spans="1:5" ht="31.5">
      <c r="A224" s="104">
        <v>1260520020</v>
      </c>
      <c r="B224" s="104"/>
      <c r="C224" s="105" t="s">
        <v>366</v>
      </c>
      <c r="D224" s="37">
        <f t="shared" si="61"/>
        <v>300</v>
      </c>
      <c r="E224" s="37">
        <f t="shared" si="61"/>
        <v>300</v>
      </c>
    </row>
    <row r="225" spans="1:5" ht="31.5">
      <c r="A225" s="104">
        <v>1260520020</v>
      </c>
      <c r="B225" s="106" t="s">
        <v>94</v>
      </c>
      <c r="C225" s="105" t="s">
        <v>95</v>
      </c>
      <c r="D225" s="37">
        <f t="shared" si="61"/>
        <v>300</v>
      </c>
      <c r="E225" s="37">
        <f t="shared" si="61"/>
        <v>300</v>
      </c>
    </row>
    <row r="226" spans="1:5" ht="12.75">
      <c r="A226" s="104">
        <v>1260520020</v>
      </c>
      <c r="B226" s="104">
        <v>610</v>
      </c>
      <c r="C226" s="105" t="s">
        <v>101</v>
      </c>
      <c r="D226" s="37">
        <f>' № 7  рп, кцср, квр'!E631</f>
        <v>300</v>
      </c>
      <c r="E226" s="37">
        <f>' № 7  рп, кцср, квр'!F631</f>
        <v>300</v>
      </c>
    </row>
    <row r="227" spans="1:5" ht="31.5">
      <c r="A227" s="125" t="s">
        <v>384</v>
      </c>
      <c r="B227" s="125"/>
      <c r="C227" s="128" t="s">
        <v>385</v>
      </c>
      <c r="D227" s="37">
        <f>D228+D231</f>
        <v>333.4</v>
      </c>
      <c r="E227" s="37">
        <f>E228+E231</f>
        <v>333.4</v>
      </c>
    </row>
    <row r="228" spans="1:5" ht="78.75">
      <c r="A228" s="124" t="s">
        <v>386</v>
      </c>
      <c r="B228" s="125"/>
      <c r="C228" s="129" t="s">
        <v>387</v>
      </c>
      <c r="D228" s="37">
        <f>D229</f>
        <v>300</v>
      </c>
      <c r="E228" s="37">
        <f>E229</f>
        <v>300</v>
      </c>
    </row>
    <row r="229" spans="1:5" ht="31.5">
      <c r="A229" s="124" t="s">
        <v>386</v>
      </c>
      <c r="B229" s="127" t="s">
        <v>94</v>
      </c>
      <c r="C229" s="126" t="s">
        <v>95</v>
      </c>
      <c r="D229" s="37">
        <f>D230</f>
        <v>300</v>
      </c>
      <c r="E229" s="37">
        <f>E230</f>
        <v>300</v>
      </c>
    </row>
    <row r="230" spans="1:5" ht="12.75">
      <c r="A230" s="124" t="s">
        <v>386</v>
      </c>
      <c r="B230" s="125">
        <v>610</v>
      </c>
      <c r="C230" s="126" t="s">
        <v>101</v>
      </c>
      <c r="D230" s="37">
        <f>' № 7  рп, кцср, квр'!E635</f>
        <v>300</v>
      </c>
      <c r="E230" s="37">
        <f>' № 7  рп, кцср, квр'!F635</f>
        <v>300</v>
      </c>
    </row>
    <row r="231" spans="1:5" ht="78.75">
      <c r="A231" s="124" t="s">
        <v>388</v>
      </c>
      <c r="B231" s="125"/>
      <c r="C231" s="129" t="s">
        <v>389</v>
      </c>
      <c r="D231" s="37">
        <f>D232</f>
        <v>33.4</v>
      </c>
      <c r="E231" s="37">
        <f>E232</f>
        <v>33.4</v>
      </c>
    </row>
    <row r="232" spans="1:5" ht="31.5">
      <c r="A232" s="124" t="s">
        <v>388</v>
      </c>
      <c r="B232" s="127" t="s">
        <v>94</v>
      </c>
      <c r="C232" s="126" t="s">
        <v>95</v>
      </c>
      <c r="D232" s="37">
        <f>D233</f>
        <v>33.4</v>
      </c>
      <c r="E232" s="37">
        <f>E233</f>
        <v>33.4</v>
      </c>
    </row>
    <row r="233" spans="1:5" ht="12.75">
      <c r="A233" s="124" t="s">
        <v>388</v>
      </c>
      <c r="B233" s="125">
        <v>610</v>
      </c>
      <c r="C233" s="126" t="s">
        <v>101</v>
      </c>
      <c r="D233" s="37">
        <f>' № 7  рп, кцср, квр'!E638</f>
        <v>33.4</v>
      </c>
      <c r="E233" s="37">
        <f>' № 7  рп, кцср, квр'!F638</f>
        <v>33.4</v>
      </c>
    </row>
    <row r="234" spans="1:5" ht="47.25">
      <c r="A234" s="28">
        <v>1300000000</v>
      </c>
      <c r="B234" s="16"/>
      <c r="C234" s="44" t="s">
        <v>193</v>
      </c>
      <c r="D234" s="36">
        <f>D235+D243+D270</f>
        <v>37275.8</v>
      </c>
      <c r="E234" s="36">
        <f>E235+E243+E270</f>
        <v>35620.200000000004</v>
      </c>
    </row>
    <row r="235" spans="1:5" ht="47.25">
      <c r="A235" s="106">
        <v>1310000000</v>
      </c>
      <c r="B235" s="104"/>
      <c r="C235" s="105" t="s">
        <v>232</v>
      </c>
      <c r="D235" s="37">
        <f>D236</f>
        <v>15413.6</v>
      </c>
      <c r="E235" s="37">
        <f>E236</f>
        <v>14903</v>
      </c>
    </row>
    <row r="236" spans="1:10" ht="47.25">
      <c r="A236" s="106" t="s">
        <v>261</v>
      </c>
      <c r="B236" s="24"/>
      <c r="C236" s="105" t="s">
        <v>260</v>
      </c>
      <c r="D236" s="37">
        <f>D240+D237</f>
        <v>15413.6</v>
      </c>
      <c r="E236" s="37">
        <f>E240+E237</f>
        <v>14903</v>
      </c>
      <c r="J236" s="98"/>
    </row>
    <row r="237" spans="1:5" ht="12.75">
      <c r="A237" s="104" t="s">
        <v>270</v>
      </c>
      <c r="B237" s="104"/>
      <c r="C237" s="59" t="s">
        <v>265</v>
      </c>
      <c r="D237" s="37">
        <f>D238</f>
        <v>814.1</v>
      </c>
      <c r="E237" s="37">
        <f>E238</f>
        <v>314.1</v>
      </c>
    </row>
    <row r="238" spans="1:5" ht="31.5">
      <c r="A238" s="104" t="s">
        <v>270</v>
      </c>
      <c r="B238" s="106" t="s">
        <v>69</v>
      </c>
      <c r="C238" s="54" t="s">
        <v>92</v>
      </c>
      <c r="D238" s="37">
        <f>D239</f>
        <v>814.1</v>
      </c>
      <c r="E238" s="37">
        <f>E239</f>
        <v>314.1</v>
      </c>
    </row>
    <row r="239" spans="1:5" ht="31.5">
      <c r="A239" s="104" t="s">
        <v>270</v>
      </c>
      <c r="B239" s="104">
        <v>240</v>
      </c>
      <c r="C239" s="54" t="s">
        <v>245</v>
      </c>
      <c r="D239" s="37">
        <f>' № 7  рп, кцср, квр'!E258</f>
        <v>814.1</v>
      </c>
      <c r="E239" s="37">
        <f>' № 7  рп, кцср, квр'!F258</f>
        <v>314.1</v>
      </c>
    </row>
    <row r="240" spans="1:5" ht="12.75">
      <c r="A240" s="106" t="s">
        <v>262</v>
      </c>
      <c r="B240" s="104"/>
      <c r="C240" s="99" t="s">
        <v>241</v>
      </c>
      <c r="D240" s="37">
        <f>D241</f>
        <v>14599.5</v>
      </c>
      <c r="E240" s="37">
        <f>E241</f>
        <v>14588.9</v>
      </c>
    </row>
    <row r="241" spans="1:5" ht="31.5">
      <c r="A241" s="106" t="s">
        <v>262</v>
      </c>
      <c r="B241" s="106" t="s">
        <v>69</v>
      </c>
      <c r="C241" s="105" t="s">
        <v>92</v>
      </c>
      <c r="D241" s="37">
        <f>D242</f>
        <v>14599.5</v>
      </c>
      <c r="E241" s="37">
        <f>E242</f>
        <v>14588.9</v>
      </c>
    </row>
    <row r="242" spans="1:5" ht="31.5">
      <c r="A242" s="106" t="s">
        <v>262</v>
      </c>
      <c r="B242" s="104">
        <v>240</v>
      </c>
      <c r="C242" s="105" t="s">
        <v>245</v>
      </c>
      <c r="D242" s="37">
        <f>' № 7  рп, кцср, квр'!E261</f>
        <v>14599.5</v>
      </c>
      <c r="E242" s="37">
        <f>' № 7  рп, кцср, квр'!F261</f>
        <v>14588.9</v>
      </c>
    </row>
    <row r="243" spans="1:5" ht="12.75">
      <c r="A243" s="106">
        <v>1320000000</v>
      </c>
      <c r="B243" s="104"/>
      <c r="C243" s="105" t="s">
        <v>198</v>
      </c>
      <c r="D243" s="37">
        <f>D251+D244</f>
        <v>21484.4</v>
      </c>
      <c r="E243" s="37">
        <f>E251+E244</f>
        <v>20412.200000000004</v>
      </c>
    </row>
    <row r="244" spans="1:5" ht="31.5">
      <c r="A244" s="106">
        <v>1320100000</v>
      </c>
      <c r="B244" s="104"/>
      <c r="C244" s="105" t="s">
        <v>345</v>
      </c>
      <c r="D244" s="37">
        <f>D248+D245</f>
        <v>707.4</v>
      </c>
      <c r="E244" s="37">
        <f>E248+E245</f>
        <v>651.4</v>
      </c>
    </row>
    <row r="245" spans="1:5" ht="63">
      <c r="A245" s="125">
        <v>1320119010</v>
      </c>
      <c r="B245" s="125"/>
      <c r="C245" s="42" t="s">
        <v>390</v>
      </c>
      <c r="D245" s="37">
        <f>D246</f>
        <v>353.7</v>
      </c>
      <c r="E245" s="37">
        <f>E246</f>
        <v>325.7</v>
      </c>
    </row>
    <row r="246" spans="1:5" ht="31.5">
      <c r="A246" s="125">
        <v>1320119010</v>
      </c>
      <c r="B246" s="127" t="s">
        <v>69</v>
      </c>
      <c r="C246" s="126" t="s">
        <v>92</v>
      </c>
      <c r="D246" s="37">
        <f>D247</f>
        <v>353.7</v>
      </c>
      <c r="E246" s="37">
        <f>E247</f>
        <v>325.7</v>
      </c>
    </row>
    <row r="247" spans="1:5" ht="31.5">
      <c r="A247" s="125">
        <v>1320119010</v>
      </c>
      <c r="B247" s="125">
        <v>240</v>
      </c>
      <c r="C247" s="126" t="s">
        <v>245</v>
      </c>
      <c r="D247" s="37">
        <f>' № 7  рп, кцср, квр'!E266</f>
        <v>353.7</v>
      </c>
      <c r="E247" s="37">
        <f>' № 7  рп, кцср, квр'!F266</f>
        <v>325.7</v>
      </c>
    </row>
    <row r="248" spans="1:5" ht="63">
      <c r="A248" s="119" t="s">
        <v>381</v>
      </c>
      <c r="B248" s="119"/>
      <c r="C248" s="42" t="s">
        <v>383</v>
      </c>
      <c r="D248" s="37">
        <f>D249</f>
        <v>353.7</v>
      </c>
      <c r="E248" s="37">
        <f>E249</f>
        <v>325.7</v>
      </c>
    </row>
    <row r="249" spans="1:5" ht="31.5">
      <c r="A249" s="119" t="s">
        <v>381</v>
      </c>
      <c r="B249" s="121" t="s">
        <v>69</v>
      </c>
      <c r="C249" s="120" t="s">
        <v>92</v>
      </c>
      <c r="D249" s="37">
        <f>D250</f>
        <v>353.7</v>
      </c>
      <c r="E249" s="37">
        <f>E250</f>
        <v>325.7</v>
      </c>
    </row>
    <row r="250" spans="1:5" ht="31.5">
      <c r="A250" s="119" t="s">
        <v>381</v>
      </c>
      <c r="B250" s="119">
        <v>240</v>
      </c>
      <c r="C250" s="120" t="s">
        <v>245</v>
      </c>
      <c r="D250" s="37">
        <f>' № 7  рп, кцср, квр'!E269</f>
        <v>353.7</v>
      </c>
      <c r="E250" s="37">
        <f>' № 7  рп, кцср, квр'!F269</f>
        <v>325.7</v>
      </c>
    </row>
    <row r="251" spans="1:5" ht="12.75">
      <c r="A251" s="106">
        <v>1320200000</v>
      </c>
      <c r="B251" s="104"/>
      <c r="C251" s="105" t="s">
        <v>127</v>
      </c>
      <c r="D251" s="37">
        <f>D252+D255+D258+D261+D267+D264</f>
        <v>20777</v>
      </c>
      <c r="E251" s="37">
        <f>E252+E255+E258+E261+E267+E264</f>
        <v>19760.800000000003</v>
      </c>
    </row>
    <row r="252" spans="1:5" ht="12.75">
      <c r="A252" s="104">
        <v>1320220050</v>
      </c>
      <c r="B252" s="104"/>
      <c r="C252" s="105" t="s">
        <v>128</v>
      </c>
      <c r="D252" s="37">
        <f>D253</f>
        <v>15478.5</v>
      </c>
      <c r="E252" s="37">
        <f>E253</f>
        <v>14477.7</v>
      </c>
    </row>
    <row r="253" spans="1:5" ht="31.5">
      <c r="A253" s="104">
        <v>1320220050</v>
      </c>
      <c r="B253" s="106" t="s">
        <v>69</v>
      </c>
      <c r="C253" s="105" t="s">
        <v>92</v>
      </c>
      <c r="D253" s="37">
        <f>D254</f>
        <v>15478.5</v>
      </c>
      <c r="E253" s="37">
        <f>E254</f>
        <v>14477.7</v>
      </c>
    </row>
    <row r="254" spans="1:5" ht="31.5">
      <c r="A254" s="104">
        <v>1320220050</v>
      </c>
      <c r="B254" s="104">
        <v>240</v>
      </c>
      <c r="C254" s="105" t="s">
        <v>245</v>
      </c>
      <c r="D254" s="37">
        <f>' № 7  рп, кцср, квр'!E273</f>
        <v>15478.5</v>
      </c>
      <c r="E254" s="37">
        <f>' № 7  рп, кцср, квр'!F273</f>
        <v>14477.7</v>
      </c>
    </row>
    <row r="255" spans="1:5" ht="12.75">
      <c r="A255" s="104">
        <v>1320220060</v>
      </c>
      <c r="B255" s="104"/>
      <c r="C255" s="105" t="s">
        <v>129</v>
      </c>
      <c r="D255" s="37">
        <f>D256</f>
        <v>2685.5</v>
      </c>
      <c r="E255" s="37">
        <f>E256</f>
        <v>2675.2</v>
      </c>
    </row>
    <row r="256" spans="1:5" ht="31.5">
      <c r="A256" s="104">
        <v>1320220060</v>
      </c>
      <c r="B256" s="106" t="s">
        <v>69</v>
      </c>
      <c r="C256" s="105" t="s">
        <v>92</v>
      </c>
      <c r="D256" s="37">
        <f>D257</f>
        <v>2685.5</v>
      </c>
      <c r="E256" s="37">
        <f>E257</f>
        <v>2675.2</v>
      </c>
    </row>
    <row r="257" spans="1:5" ht="31.5">
      <c r="A257" s="104">
        <v>1320220060</v>
      </c>
      <c r="B257" s="104">
        <v>240</v>
      </c>
      <c r="C257" s="105" t="s">
        <v>245</v>
      </c>
      <c r="D257" s="37">
        <f>' № 7  рп, кцср, квр'!E276</f>
        <v>2685.5</v>
      </c>
      <c r="E257" s="37">
        <f>' № 7  рп, кцср, квр'!F276</f>
        <v>2675.2</v>
      </c>
    </row>
    <row r="258" spans="1:5" ht="12.75">
      <c r="A258" s="104">
        <v>1320220070</v>
      </c>
      <c r="B258" s="104"/>
      <c r="C258" s="105" t="s">
        <v>130</v>
      </c>
      <c r="D258" s="37">
        <f>D259</f>
        <v>2068.3</v>
      </c>
      <c r="E258" s="37">
        <f>E259</f>
        <v>2068.3</v>
      </c>
    </row>
    <row r="259" spans="1:5" ht="31.5">
      <c r="A259" s="104">
        <v>1320220070</v>
      </c>
      <c r="B259" s="106" t="s">
        <v>69</v>
      </c>
      <c r="C259" s="105" t="s">
        <v>92</v>
      </c>
      <c r="D259" s="37">
        <f>D260</f>
        <v>2068.3</v>
      </c>
      <c r="E259" s="37">
        <f>E260</f>
        <v>2068.3</v>
      </c>
    </row>
    <row r="260" spans="1:5" ht="31.5">
      <c r="A260" s="104">
        <v>1320220070</v>
      </c>
      <c r="B260" s="104">
        <v>240</v>
      </c>
      <c r="C260" s="105" t="s">
        <v>245</v>
      </c>
      <c r="D260" s="37">
        <f>' № 7  рп, кцср, квр'!E279</f>
        <v>2068.3</v>
      </c>
      <c r="E260" s="37">
        <f>' № 7  рп, кцср, квр'!F279</f>
        <v>2068.3</v>
      </c>
    </row>
    <row r="261" spans="1:5" ht="12.75">
      <c r="A261" s="104">
        <v>1320220080</v>
      </c>
      <c r="B261" s="104"/>
      <c r="C261" s="105" t="s">
        <v>131</v>
      </c>
      <c r="D261" s="37">
        <f>D262</f>
        <v>145.9</v>
      </c>
      <c r="E261" s="37">
        <f>E262</f>
        <v>145.9</v>
      </c>
    </row>
    <row r="262" spans="1:5" ht="31.5">
      <c r="A262" s="104">
        <v>1320220080</v>
      </c>
      <c r="B262" s="106" t="s">
        <v>69</v>
      </c>
      <c r="C262" s="105" t="s">
        <v>92</v>
      </c>
      <c r="D262" s="37">
        <f>D263</f>
        <v>145.9</v>
      </c>
      <c r="E262" s="37">
        <f>E263</f>
        <v>145.9</v>
      </c>
    </row>
    <row r="263" spans="1:5" ht="31.5">
      <c r="A263" s="104">
        <v>1320220080</v>
      </c>
      <c r="B263" s="104">
        <v>240</v>
      </c>
      <c r="C263" s="105" t="s">
        <v>245</v>
      </c>
      <c r="D263" s="37">
        <f>' № 7  рп, кцср, квр'!E282</f>
        <v>145.9</v>
      </c>
      <c r="E263" s="37">
        <f>' № 7  рп, кцср, квр'!F282</f>
        <v>145.9</v>
      </c>
    </row>
    <row r="264" spans="1:5" ht="31.5">
      <c r="A264" s="127">
        <v>1320220090</v>
      </c>
      <c r="B264" s="127"/>
      <c r="C264" s="126" t="s">
        <v>391</v>
      </c>
      <c r="D264" s="37">
        <f>D265</f>
        <v>47.6</v>
      </c>
      <c r="E264" s="37">
        <f>E265</f>
        <v>42.5</v>
      </c>
    </row>
    <row r="265" spans="1:5" ht="31.5">
      <c r="A265" s="127">
        <v>1320220090</v>
      </c>
      <c r="B265" s="127" t="s">
        <v>69</v>
      </c>
      <c r="C265" s="126" t="s">
        <v>92</v>
      </c>
      <c r="D265" s="37">
        <f>D266</f>
        <v>47.6</v>
      </c>
      <c r="E265" s="37">
        <f>E266</f>
        <v>42.5</v>
      </c>
    </row>
    <row r="266" spans="1:5" ht="31.5">
      <c r="A266" s="127">
        <v>1320220090</v>
      </c>
      <c r="B266" s="127">
        <v>240</v>
      </c>
      <c r="C266" s="126" t="s">
        <v>245</v>
      </c>
      <c r="D266" s="37">
        <f>' № 7  рп, кцср, квр'!E285</f>
        <v>47.6</v>
      </c>
      <c r="E266" s="37">
        <f>' № 7  рп, кцср, квр'!F285</f>
        <v>42.5</v>
      </c>
    </row>
    <row r="267" spans="1:5" ht="47.25">
      <c r="A267" s="117" t="s">
        <v>379</v>
      </c>
      <c r="B267" s="117"/>
      <c r="C267" s="123" t="s">
        <v>382</v>
      </c>
      <c r="D267" s="37">
        <f>D268</f>
        <v>351.2</v>
      </c>
      <c r="E267" s="37">
        <f>E268</f>
        <v>351.2</v>
      </c>
    </row>
    <row r="268" spans="1:5" ht="31.5">
      <c r="A268" s="117" t="s">
        <v>379</v>
      </c>
      <c r="B268" s="118" t="s">
        <v>69</v>
      </c>
      <c r="C268" s="105" t="s">
        <v>92</v>
      </c>
      <c r="D268" s="37">
        <f>D269</f>
        <v>351.2</v>
      </c>
      <c r="E268" s="37">
        <f>E269</f>
        <v>351.2</v>
      </c>
    </row>
    <row r="269" spans="1:5" ht="31.5">
      <c r="A269" s="117" t="s">
        <v>379</v>
      </c>
      <c r="B269" s="117">
        <v>240</v>
      </c>
      <c r="C269" s="105" t="s">
        <v>245</v>
      </c>
      <c r="D269" s="37">
        <f>' № 7  рп, кцср, квр'!E288</f>
        <v>351.2</v>
      </c>
      <c r="E269" s="37">
        <f>' № 7  рп, кцср, квр'!F288</f>
        <v>351.2</v>
      </c>
    </row>
    <row r="270" spans="1:5" ht="12.75">
      <c r="A270" s="106">
        <v>1330000000</v>
      </c>
      <c r="B270" s="104"/>
      <c r="C270" s="105" t="s">
        <v>122</v>
      </c>
      <c r="D270" s="37">
        <f>D271</f>
        <v>377.79999999999995</v>
      </c>
      <c r="E270" s="37">
        <f>E271</f>
        <v>305</v>
      </c>
    </row>
    <row r="271" spans="1:5" ht="47.25">
      <c r="A271" s="106">
        <v>1330200000</v>
      </c>
      <c r="B271" s="104"/>
      <c r="C271" s="105" t="s">
        <v>233</v>
      </c>
      <c r="D271" s="37">
        <f>D272+D275</f>
        <v>377.79999999999995</v>
      </c>
      <c r="E271" s="37">
        <f>E272+E275</f>
        <v>305</v>
      </c>
    </row>
    <row r="272" spans="1:5" ht="12.75">
      <c r="A272" s="106">
        <v>1330220090</v>
      </c>
      <c r="B272" s="104"/>
      <c r="C272" s="105" t="s">
        <v>132</v>
      </c>
      <c r="D272" s="37">
        <f>D273</f>
        <v>107.79999999999998</v>
      </c>
      <c r="E272" s="37">
        <f>E273</f>
        <v>35</v>
      </c>
    </row>
    <row r="273" spans="1:5" ht="31.5">
      <c r="A273" s="106">
        <v>1330220090</v>
      </c>
      <c r="B273" s="106" t="s">
        <v>69</v>
      </c>
      <c r="C273" s="105" t="s">
        <v>92</v>
      </c>
      <c r="D273" s="37">
        <f>D274</f>
        <v>107.79999999999998</v>
      </c>
      <c r="E273" s="37">
        <f>E274</f>
        <v>35</v>
      </c>
    </row>
    <row r="274" spans="1:5" ht="31.5">
      <c r="A274" s="106">
        <v>1330220090</v>
      </c>
      <c r="B274" s="104">
        <v>240</v>
      </c>
      <c r="C274" s="105" t="s">
        <v>245</v>
      </c>
      <c r="D274" s="37">
        <f>' № 7  рп, кцср, квр'!E293</f>
        <v>107.79999999999998</v>
      </c>
      <c r="E274" s="37">
        <f>' № 7  рп, кцср, квр'!F293</f>
        <v>35</v>
      </c>
    </row>
    <row r="275" spans="1:5" ht="12.75">
      <c r="A275" s="121">
        <v>1330220100</v>
      </c>
      <c r="B275" s="74"/>
      <c r="C275" s="42" t="s">
        <v>380</v>
      </c>
      <c r="D275" s="37">
        <f>D276</f>
        <v>270</v>
      </c>
      <c r="E275" s="37">
        <f>E276</f>
        <v>270</v>
      </c>
    </row>
    <row r="276" spans="1:5" ht="31.5">
      <c r="A276" s="121">
        <v>1330220100</v>
      </c>
      <c r="B276" s="122" t="s">
        <v>69</v>
      </c>
      <c r="C276" s="120" t="s">
        <v>92</v>
      </c>
      <c r="D276" s="37">
        <f>D277</f>
        <v>270</v>
      </c>
      <c r="E276" s="37">
        <f>E277</f>
        <v>270</v>
      </c>
    </row>
    <row r="277" spans="1:5" ht="31.5">
      <c r="A277" s="121">
        <v>1330220100</v>
      </c>
      <c r="B277" s="74">
        <v>240</v>
      </c>
      <c r="C277" s="120" t="s">
        <v>245</v>
      </c>
      <c r="D277" s="37">
        <f>' № 7  рп, кцср, квр'!E296</f>
        <v>270</v>
      </c>
      <c r="E277" s="37">
        <f>' № 7  рп, кцср, квр'!F296</f>
        <v>270</v>
      </c>
    </row>
    <row r="278" spans="1:5" ht="47.25">
      <c r="A278" s="28">
        <v>1400000000</v>
      </c>
      <c r="B278" s="104"/>
      <c r="C278" s="44" t="s">
        <v>194</v>
      </c>
      <c r="D278" s="36">
        <f>D279+D304+D319</f>
        <v>117442.5</v>
      </c>
      <c r="E278" s="36">
        <f>E279+E304+E319</f>
        <v>109548.8</v>
      </c>
    </row>
    <row r="279" spans="1:5" ht="12.75">
      <c r="A279" s="106">
        <v>1410000000</v>
      </c>
      <c r="B279" s="104"/>
      <c r="C279" s="105" t="s">
        <v>123</v>
      </c>
      <c r="D279" s="37">
        <f>D280+D284+D294</f>
        <v>101141.40000000001</v>
      </c>
      <c r="E279" s="37">
        <f>E280+E284+E294</f>
        <v>98050.8</v>
      </c>
    </row>
    <row r="280" spans="1:5" ht="12.75">
      <c r="A280" s="106">
        <v>1410100000</v>
      </c>
      <c r="B280" s="24"/>
      <c r="C280" s="105" t="s">
        <v>195</v>
      </c>
      <c r="D280" s="37">
        <f aca="true" t="shared" si="62" ref="D280:E282">D281</f>
        <v>28888.9</v>
      </c>
      <c r="E280" s="37">
        <f t="shared" si="62"/>
        <v>28875.9</v>
      </c>
    </row>
    <row r="281" spans="1:5" ht="31.5">
      <c r="A281" s="104">
        <v>1410120100</v>
      </c>
      <c r="B281" s="104"/>
      <c r="C281" s="105" t="s">
        <v>124</v>
      </c>
      <c r="D281" s="37">
        <f t="shared" si="62"/>
        <v>28888.9</v>
      </c>
      <c r="E281" s="37">
        <f t="shared" si="62"/>
        <v>28875.9</v>
      </c>
    </row>
    <row r="282" spans="1:5" ht="31.5">
      <c r="A282" s="104">
        <v>1410120100</v>
      </c>
      <c r="B282" s="106" t="s">
        <v>69</v>
      </c>
      <c r="C282" s="105" t="s">
        <v>92</v>
      </c>
      <c r="D282" s="37">
        <f t="shared" si="62"/>
        <v>28888.9</v>
      </c>
      <c r="E282" s="37">
        <f t="shared" si="62"/>
        <v>28875.9</v>
      </c>
    </row>
    <row r="283" spans="1:5" ht="31.5">
      <c r="A283" s="104">
        <v>1410120100</v>
      </c>
      <c r="B283" s="104">
        <v>240</v>
      </c>
      <c r="C283" s="105" t="s">
        <v>245</v>
      </c>
      <c r="D283" s="37">
        <f>' № 7  рп, кцср, квр'!E167</f>
        <v>28888.9</v>
      </c>
      <c r="E283" s="37">
        <f>' № 7  рп, кцср, квр'!F167</f>
        <v>28875.9</v>
      </c>
    </row>
    <row r="284" spans="1:5" ht="47.25">
      <c r="A284" s="106">
        <v>1410200000</v>
      </c>
      <c r="B284" s="104"/>
      <c r="C284" s="105" t="s">
        <v>196</v>
      </c>
      <c r="D284" s="37">
        <f>D288+D285+D291</f>
        <v>59779.2</v>
      </c>
      <c r="E284" s="37">
        <f>E288+E285+E291</f>
        <v>56940.7</v>
      </c>
    </row>
    <row r="285" spans="1:5" ht="31.5">
      <c r="A285" s="104">
        <v>1410211050</v>
      </c>
      <c r="B285" s="104"/>
      <c r="C285" s="105" t="s">
        <v>278</v>
      </c>
      <c r="D285" s="37">
        <f>D286</f>
        <v>46381.1</v>
      </c>
      <c r="E285" s="37">
        <f>E286</f>
        <v>44367.1</v>
      </c>
    </row>
    <row r="286" spans="1:5" ht="31.5">
      <c r="A286" s="104">
        <v>1410211050</v>
      </c>
      <c r="B286" s="106" t="s">
        <v>69</v>
      </c>
      <c r="C286" s="105" t="s">
        <v>92</v>
      </c>
      <c r="D286" s="37">
        <f>D287</f>
        <v>46381.1</v>
      </c>
      <c r="E286" s="37">
        <f>E287</f>
        <v>44367.1</v>
      </c>
    </row>
    <row r="287" spans="1:5" ht="31.5">
      <c r="A287" s="104">
        <v>1410211050</v>
      </c>
      <c r="B287" s="104">
        <v>240</v>
      </c>
      <c r="C287" s="105" t="s">
        <v>245</v>
      </c>
      <c r="D287" s="37">
        <f>' № 7  рп, кцср, квр'!E171</f>
        <v>46381.1</v>
      </c>
      <c r="E287" s="37">
        <f>' № 7  рп, кцср, квр'!F171</f>
        <v>44367.1</v>
      </c>
    </row>
    <row r="288" spans="1:5" ht="12.75">
      <c r="A288" s="104">
        <v>1410220110</v>
      </c>
      <c r="B288" s="104"/>
      <c r="C288" s="54" t="s">
        <v>266</v>
      </c>
      <c r="D288" s="37">
        <f>D289</f>
        <v>1512.8</v>
      </c>
      <c r="E288" s="37">
        <f>E289</f>
        <v>1481.8</v>
      </c>
    </row>
    <row r="289" spans="1:5" ht="31.5">
      <c r="A289" s="104">
        <v>1410220110</v>
      </c>
      <c r="B289" s="106" t="s">
        <v>69</v>
      </c>
      <c r="C289" s="54" t="s">
        <v>92</v>
      </c>
      <c r="D289" s="37">
        <f>D290</f>
        <v>1512.8</v>
      </c>
      <c r="E289" s="37">
        <f>E290</f>
        <v>1481.8</v>
      </c>
    </row>
    <row r="290" spans="1:5" ht="31.5">
      <c r="A290" s="104">
        <v>1410220110</v>
      </c>
      <c r="B290" s="104">
        <v>240</v>
      </c>
      <c r="C290" s="54" t="s">
        <v>245</v>
      </c>
      <c r="D290" s="37">
        <f>' № 7  рп, кцср, квр'!E174</f>
        <v>1512.8</v>
      </c>
      <c r="E290" s="37">
        <f>' № 7  рп, кцср, квр'!F174</f>
        <v>1481.8</v>
      </c>
    </row>
    <row r="291" spans="1:5" ht="31.5">
      <c r="A291" s="104" t="s">
        <v>299</v>
      </c>
      <c r="B291" s="104"/>
      <c r="C291" s="105" t="s">
        <v>300</v>
      </c>
      <c r="D291" s="37">
        <f>D292</f>
        <v>11885.3</v>
      </c>
      <c r="E291" s="37">
        <f>E292</f>
        <v>11091.8</v>
      </c>
    </row>
    <row r="292" spans="1:5" ht="31.5">
      <c r="A292" s="104" t="s">
        <v>299</v>
      </c>
      <c r="B292" s="106" t="s">
        <v>69</v>
      </c>
      <c r="C292" s="105" t="s">
        <v>92</v>
      </c>
      <c r="D292" s="37">
        <f>D293</f>
        <v>11885.3</v>
      </c>
      <c r="E292" s="37">
        <f>E293</f>
        <v>11091.8</v>
      </c>
    </row>
    <row r="293" spans="1:5" ht="31.5">
      <c r="A293" s="104" t="s">
        <v>299</v>
      </c>
      <c r="B293" s="104">
        <v>240</v>
      </c>
      <c r="C293" s="105" t="s">
        <v>245</v>
      </c>
      <c r="D293" s="37">
        <f>' № 7  рп, кцср, квр'!E177</f>
        <v>11885.3</v>
      </c>
      <c r="E293" s="37">
        <f>' № 7  рп, кцср, квр'!F177</f>
        <v>11091.8</v>
      </c>
    </row>
    <row r="294" spans="1:5" ht="47.25">
      <c r="A294" s="104">
        <v>1410300000</v>
      </c>
      <c r="B294" s="104"/>
      <c r="C294" s="105" t="s">
        <v>268</v>
      </c>
      <c r="D294" s="37">
        <f>D295+D301+D298</f>
        <v>12473.3</v>
      </c>
      <c r="E294" s="37">
        <f>E295+E301+E298</f>
        <v>12234.2</v>
      </c>
    </row>
    <row r="295" spans="1:5" ht="47.25">
      <c r="A295" s="104">
        <v>1410311020</v>
      </c>
      <c r="B295" s="104"/>
      <c r="C295" s="105" t="s">
        <v>279</v>
      </c>
      <c r="D295" s="37">
        <f>D296</f>
        <v>5279.2</v>
      </c>
      <c r="E295" s="37">
        <f>E296</f>
        <v>5279.2</v>
      </c>
    </row>
    <row r="296" spans="1:5" ht="31.5">
      <c r="A296" s="104">
        <v>1410311020</v>
      </c>
      <c r="B296" s="106" t="s">
        <v>69</v>
      </c>
      <c r="C296" s="105" t="s">
        <v>92</v>
      </c>
      <c r="D296" s="37">
        <f>D297</f>
        <v>5279.2</v>
      </c>
      <c r="E296" s="37">
        <f>E297</f>
        <v>5279.2</v>
      </c>
    </row>
    <row r="297" spans="1:5" ht="31.5">
      <c r="A297" s="104">
        <v>1410311020</v>
      </c>
      <c r="B297" s="104">
        <v>240</v>
      </c>
      <c r="C297" s="105" t="s">
        <v>245</v>
      </c>
      <c r="D297" s="37">
        <f>' № 7  рп, кцср, квр'!E181</f>
        <v>5279.2</v>
      </c>
      <c r="E297" s="37">
        <f>' № 7  рп, кцср, квр'!F181</f>
        <v>5279.2</v>
      </c>
    </row>
    <row r="298" spans="1:5" ht="12.75">
      <c r="A298" s="104">
        <v>1410320110</v>
      </c>
      <c r="B298" s="104"/>
      <c r="C298" s="54" t="s">
        <v>266</v>
      </c>
      <c r="D298" s="37">
        <f>D299</f>
        <v>62</v>
      </c>
      <c r="E298" s="37">
        <f>E299</f>
        <v>61.7</v>
      </c>
    </row>
    <row r="299" spans="1:5" ht="31.5">
      <c r="A299" s="104">
        <v>1410320110</v>
      </c>
      <c r="B299" s="106" t="s">
        <v>69</v>
      </c>
      <c r="C299" s="54" t="s">
        <v>92</v>
      </c>
      <c r="D299" s="37">
        <f>D300</f>
        <v>62</v>
      </c>
      <c r="E299" s="37">
        <f>E300</f>
        <v>61.7</v>
      </c>
    </row>
    <row r="300" spans="1:5" ht="31.5">
      <c r="A300" s="104">
        <v>1410320110</v>
      </c>
      <c r="B300" s="104">
        <v>240</v>
      </c>
      <c r="C300" s="54" t="s">
        <v>245</v>
      </c>
      <c r="D300" s="37">
        <f>' № 7  рп, кцср, квр'!E184</f>
        <v>62</v>
      </c>
      <c r="E300" s="37">
        <f>' № 7  рп, кцср, квр'!F184</f>
        <v>61.7</v>
      </c>
    </row>
    <row r="301" spans="1:5" ht="47.25">
      <c r="A301" s="104" t="s">
        <v>301</v>
      </c>
      <c r="B301" s="104"/>
      <c r="C301" s="105" t="s">
        <v>302</v>
      </c>
      <c r="D301" s="37">
        <f>D302</f>
        <v>7132.1</v>
      </c>
      <c r="E301" s="37">
        <f>E302</f>
        <v>6893.3</v>
      </c>
    </row>
    <row r="302" spans="1:5" ht="31.5">
      <c r="A302" s="104" t="s">
        <v>301</v>
      </c>
      <c r="B302" s="106" t="s">
        <v>69</v>
      </c>
      <c r="C302" s="105" t="s">
        <v>92</v>
      </c>
      <c r="D302" s="37">
        <f>D303</f>
        <v>7132.1</v>
      </c>
      <c r="E302" s="37">
        <f>E303</f>
        <v>6893.3</v>
      </c>
    </row>
    <row r="303" spans="1:5" ht="31.5">
      <c r="A303" s="104" t="s">
        <v>301</v>
      </c>
      <c r="B303" s="104">
        <v>240</v>
      </c>
      <c r="C303" s="105" t="s">
        <v>245</v>
      </c>
      <c r="D303" s="37">
        <f>' № 7  рп, кцср, квр'!E187</f>
        <v>7132.1</v>
      </c>
      <c r="E303" s="37">
        <f>' № 7  рп, кцср, квр'!F187</f>
        <v>6893.3</v>
      </c>
    </row>
    <row r="304" spans="1:5" ht="12.75">
      <c r="A304" s="106">
        <v>1420000000</v>
      </c>
      <c r="B304" s="104"/>
      <c r="C304" s="105" t="s">
        <v>125</v>
      </c>
      <c r="D304" s="37">
        <f>D305+D309</f>
        <v>4271.9</v>
      </c>
      <c r="E304" s="37">
        <f>E305+E309</f>
        <v>2596.3</v>
      </c>
    </row>
    <row r="305" spans="1:5" ht="31.5">
      <c r="A305" s="106">
        <v>1420100000</v>
      </c>
      <c r="B305" s="104"/>
      <c r="C305" s="105" t="s">
        <v>197</v>
      </c>
      <c r="D305" s="37">
        <f aca="true" t="shared" si="63" ref="D305:E307">D306</f>
        <v>1091.8</v>
      </c>
      <c r="E305" s="37">
        <f t="shared" si="63"/>
        <v>1091.1</v>
      </c>
    </row>
    <row r="306" spans="1:5" ht="12.75">
      <c r="A306" s="104">
        <v>1420120120</v>
      </c>
      <c r="B306" s="104"/>
      <c r="C306" s="105" t="s">
        <v>126</v>
      </c>
      <c r="D306" s="37">
        <f t="shared" si="63"/>
        <v>1091.8</v>
      </c>
      <c r="E306" s="37">
        <f t="shared" si="63"/>
        <v>1091.1</v>
      </c>
    </row>
    <row r="307" spans="1:5" ht="31.5">
      <c r="A307" s="104">
        <v>1420120120</v>
      </c>
      <c r="B307" s="106" t="s">
        <v>69</v>
      </c>
      <c r="C307" s="105" t="s">
        <v>92</v>
      </c>
      <c r="D307" s="37">
        <f t="shared" si="63"/>
        <v>1091.8</v>
      </c>
      <c r="E307" s="37">
        <f t="shared" si="63"/>
        <v>1091.1</v>
      </c>
    </row>
    <row r="308" spans="1:5" ht="31.5">
      <c r="A308" s="104">
        <v>1420120120</v>
      </c>
      <c r="B308" s="104">
        <v>240</v>
      </c>
      <c r="C308" s="105" t="s">
        <v>245</v>
      </c>
      <c r="D308" s="37">
        <f>' № 7  рп, кцср, квр'!E192</f>
        <v>1091.8</v>
      </c>
      <c r="E308" s="37">
        <f>' № 7  рп, кцср, квр'!F192</f>
        <v>1091.1</v>
      </c>
    </row>
    <row r="309" spans="1:5" ht="47.25">
      <c r="A309" s="104" t="s">
        <v>280</v>
      </c>
      <c r="B309" s="104"/>
      <c r="C309" s="105" t="s">
        <v>281</v>
      </c>
      <c r="D309" s="37">
        <f>D310+D316+D313</f>
        <v>3180.1</v>
      </c>
      <c r="E309" s="37">
        <f>E310+E316+E313</f>
        <v>1505.2</v>
      </c>
    </row>
    <row r="310" spans="1:5" ht="47.25">
      <c r="A310" s="104" t="s">
        <v>282</v>
      </c>
      <c r="B310" s="104"/>
      <c r="C310" s="105" t="s">
        <v>283</v>
      </c>
      <c r="D310" s="37">
        <f>D311</f>
        <v>2532.1</v>
      </c>
      <c r="E310" s="37">
        <f>E311</f>
        <v>1193.2</v>
      </c>
    </row>
    <row r="311" spans="1:5" ht="31.5">
      <c r="A311" s="104" t="s">
        <v>282</v>
      </c>
      <c r="B311" s="106" t="s">
        <v>69</v>
      </c>
      <c r="C311" s="105" t="s">
        <v>92</v>
      </c>
      <c r="D311" s="37">
        <f>D312</f>
        <v>2532.1</v>
      </c>
      <c r="E311" s="37">
        <f>E312</f>
        <v>1193.2</v>
      </c>
    </row>
    <row r="312" spans="1:5" ht="31.5">
      <c r="A312" s="104" t="s">
        <v>282</v>
      </c>
      <c r="B312" s="104">
        <v>240</v>
      </c>
      <c r="C312" s="105" t="s">
        <v>245</v>
      </c>
      <c r="D312" s="37">
        <f>' № 7  рп, кцср, квр'!E196</f>
        <v>2532.1</v>
      </c>
      <c r="E312" s="37">
        <f>' № 7  рп, кцср, квр'!F196</f>
        <v>1193.2</v>
      </c>
    </row>
    <row r="313" spans="1:5" ht="12.75">
      <c r="A313" s="104" t="s">
        <v>371</v>
      </c>
      <c r="B313" s="104"/>
      <c r="C313" s="54" t="s">
        <v>266</v>
      </c>
      <c r="D313" s="37">
        <f>D314</f>
        <v>15</v>
      </c>
      <c r="E313" s="37">
        <f>E314</f>
        <v>13.7</v>
      </c>
    </row>
    <row r="314" spans="1:5" ht="31.5">
      <c r="A314" s="104" t="s">
        <v>371</v>
      </c>
      <c r="B314" s="106" t="s">
        <v>69</v>
      </c>
      <c r="C314" s="105" t="s">
        <v>92</v>
      </c>
      <c r="D314" s="37">
        <f>D315</f>
        <v>15</v>
      </c>
      <c r="E314" s="37">
        <f>E315</f>
        <v>13.7</v>
      </c>
    </row>
    <row r="315" spans="1:5" ht="31.5">
      <c r="A315" s="104" t="s">
        <v>371</v>
      </c>
      <c r="B315" s="104">
        <v>240</v>
      </c>
      <c r="C315" s="105" t="s">
        <v>245</v>
      </c>
      <c r="D315" s="37">
        <f>' № 7  рп, кцср, квр'!E199</f>
        <v>15</v>
      </c>
      <c r="E315" s="37">
        <f>' № 7  рп, кцср, квр'!F199</f>
        <v>13.7</v>
      </c>
    </row>
    <row r="316" spans="1:5" ht="47.25">
      <c r="A316" s="104" t="s">
        <v>271</v>
      </c>
      <c r="B316" s="104"/>
      <c r="C316" s="105" t="s">
        <v>267</v>
      </c>
      <c r="D316" s="37">
        <f>D317</f>
        <v>633</v>
      </c>
      <c r="E316" s="37">
        <f>E317</f>
        <v>298.3</v>
      </c>
    </row>
    <row r="317" spans="1:5" ht="31.5">
      <c r="A317" s="104" t="s">
        <v>271</v>
      </c>
      <c r="B317" s="106" t="s">
        <v>69</v>
      </c>
      <c r="C317" s="105" t="s">
        <v>92</v>
      </c>
      <c r="D317" s="37">
        <f>D318</f>
        <v>633</v>
      </c>
      <c r="E317" s="37">
        <f>E318</f>
        <v>298.3</v>
      </c>
    </row>
    <row r="318" spans="1:5" ht="31.5">
      <c r="A318" s="104" t="s">
        <v>271</v>
      </c>
      <c r="B318" s="104">
        <v>240</v>
      </c>
      <c r="C318" s="105" t="s">
        <v>245</v>
      </c>
      <c r="D318" s="37">
        <f>' № 7  рп, кцср, квр'!E202</f>
        <v>633</v>
      </c>
      <c r="E318" s="37">
        <f>' № 7  рп, кцср, квр'!F202</f>
        <v>298.3</v>
      </c>
    </row>
    <row r="319" spans="1:5" ht="12.75">
      <c r="A319" s="106">
        <v>1430000000</v>
      </c>
      <c r="B319" s="104"/>
      <c r="C319" s="8" t="s">
        <v>274</v>
      </c>
      <c r="D319" s="37">
        <f>D320</f>
        <v>12029.2</v>
      </c>
      <c r="E319" s="37">
        <f>E320</f>
        <v>8901.7</v>
      </c>
    </row>
    <row r="320" spans="1:5" ht="31.5">
      <c r="A320" s="104">
        <v>1430100000</v>
      </c>
      <c r="B320" s="104"/>
      <c r="C320" s="8" t="s">
        <v>275</v>
      </c>
      <c r="D320" s="37">
        <f>D329+D324+D321</f>
        <v>12029.2</v>
      </c>
      <c r="E320" s="37">
        <f>E329+E324+E321</f>
        <v>8901.7</v>
      </c>
    </row>
    <row r="321" spans="1:5" ht="31.5">
      <c r="A321" s="131">
        <v>1430110110</v>
      </c>
      <c r="B321" s="131"/>
      <c r="C321" s="42" t="s">
        <v>392</v>
      </c>
      <c r="D321" s="37">
        <f>D322</f>
        <v>5456.2</v>
      </c>
      <c r="E321" s="37">
        <f>E322</f>
        <v>5455.8</v>
      </c>
    </row>
    <row r="322" spans="1:5" ht="31.5">
      <c r="A322" s="131">
        <v>1430110110</v>
      </c>
      <c r="B322" s="133" t="s">
        <v>72</v>
      </c>
      <c r="C322" s="132" t="s">
        <v>93</v>
      </c>
      <c r="D322" s="37">
        <f>D323</f>
        <v>5456.2</v>
      </c>
      <c r="E322" s="37">
        <f>E323</f>
        <v>5455.8</v>
      </c>
    </row>
    <row r="323" spans="1:5" ht="12.75">
      <c r="A323" s="131">
        <v>1430110110</v>
      </c>
      <c r="B323" s="133" t="s">
        <v>117</v>
      </c>
      <c r="C323" s="54" t="s">
        <v>118</v>
      </c>
      <c r="D323" s="37">
        <f>' № 7  рп, кцср, квр'!E234</f>
        <v>5456.2</v>
      </c>
      <c r="E323" s="37">
        <f>' № 7  рп, кцср, квр'!F234</f>
        <v>5455.8</v>
      </c>
    </row>
    <row r="324" spans="1:5" ht="12.75">
      <c r="A324" s="104">
        <v>1430120100</v>
      </c>
      <c r="B324" s="104"/>
      <c r="C324" s="42" t="s">
        <v>370</v>
      </c>
      <c r="D324" s="37">
        <f>D325+D327</f>
        <v>5209</v>
      </c>
      <c r="E324" s="37">
        <f>E325+E327</f>
        <v>2081.9</v>
      </c>
    </row>
    <row r="325" spans="1:5" ht="31.5">
      <c r="A325" s="104">
        <v>1430120100</v>
      </c>
      <c r="B325" s="106" t="s">
        <v>69</v>
      </c>
      <c r="C325" s="105" t="s">
        <v>92</v>
      </c>
      <c r="D325" s="37">
        <f>D326</f>
        <v>1879.3000000000002</v>
      </c>
      <c r="E325" s="37">
        <f>E326</f>
        <v>1106.7</v>
      </c>
    </row>
    <row r="326" spans="1:5" ht="31.5">
      <c r="A326" s="104">
        <v>1430120100</v>
      </c>
      <c r="B326" s="104">
        <v>240</v>
      </c>
      <c r="C326" s="105" t="s">
        <v>245</v>
      </c>
      <c r="D326" s="37">
        <f>' № 7  рп, кцср, квр'!E237</f>
        <v>1879.3000000000002</v>
      </c>
      <c r="E326" s="37">
        <f>' № 7  рп, кцср, квр'!F237</f>
        <v>1106.7</v>
      </c>
    </row>
    <row r="327" spans="1:5" ht="31.5">
      <c r="A327" s="104">
        <v>1430120100</v>
      </c>
      <c r="B327" s="106" t="s">
        <v>72</v>
      </c>
      <c r="C327" s="54" t="s">
        <v>93</v>
      </c>
      <c r="D327" s="37">
        <f>D328</f>
        <v>3329.7</v>
      </c>
      <c r="E327" s="37">
        <f>E328</f>
        <v>975.2</v>
      </c>
    </row>
    <row r="328" spans="1:5" ht="12.75">
      <c r="A328" s="104">
        <v>1430120100</v>
      </c>
      <c r="B328" s="106" t="s">
        <v>117</v>
      </c>
      <c r="C328" s="54" t="s">
        <v>118</v>
      </c>
      <c r="D328" s="37">
        <f>' № 7  рп, кцср, квр'!E239</f>
        <v>3329.7</v>
      </c>
      <c r="E328" s="37">
        <f>' № 7  рп, кцср, квр'!F239</f>
        <v>975.2</v>
      </c>
    </row>
    <row r="329" spans="1:5" ht="31.5">
      <c r="A329" s="104" t="s">
        <v>343</v>
      </c>
      <c r="B329" s="104"/>
      <c r="C329" s="42" t="s">
        <v>344</v>
      </c>
      <c r="D329" s="37">
        <f>D330</f>
        <v>1364</v>
      </c>
      <c r="E329" s="37">
        <f>E330</f>
        <v>1364</v>
      </c>
    </row>
    <row r="330" spans="1:5" ht="31.5">
      <c r="A330" s="104" t="s">
        <v>343</v>
      </c>
      <c r="B330" s="106" t="s">
        <v>72</v>
      </c>
      <c r="C330" s="54" t="s">
        <v>93</v>
      </c>
      <c r="D330" s="37">
        <f>D331</f>
        <v>1364</v>
      </c>
      <c r="E330" s="37">
        <f>E331</f>
        <v>1364</v>
      </c>
    </row>
    <row r="331" spans="1:5" ht="12.75">
      <c r="A331" s="104" t="s">
        <v>343</v>
      </c>
      <c r="B331" s="106" t="s">
        <v>117</v>
      </c>
      <c r="C331" s="54" t="s">
        <v>118</v>
      </c>
      <c r="D331" s="37">
        <f>' № 7  рп, кцср, квр'!E242</f>
        <v>1364</v>
      </c>
      <c r="E331" s="37">
        <f>' № 7  рп, кцср, квр'!F242</f>
        <v>1364</v>
      </c>
    </row>
    <row r="332" spans="1:5" ht="31.5">
      <c r="A332" s="28">
        <v>1500000000</v>
      </c>
      <c r="B332" s="16"/>
      <c r="C332" s="44" t="s">
        <v>188</v>
      </c>
      <c r="D332" s="36">
        <f>D333+D346</f>
        <v>21086.3</v>
      </c>
      <c r="E332" s="36">
        <f>E333+E346</f>
        <v>21069.5</v>
      </c>
    </row>
    <row r="333" spans="1:5" ht="12.75">
      <c r="A333" s="104">
        <v>1510000000</v>
      </c>
      <c r="B333" s="104"/>
      <c r="C333" s="105" t="s">
        <v>161</v>
      </c>
      <c r="D333" s="37">
        <f>D334+D338+D342</f>
        <v>8098.7</v>
      </c>
      <c r="E333" s="37">
        <f>E334+E338+E342</f>
        <v>8082</v>
      </c>
    </row>
    <row r="334" spans="1:5" ht="47.25">
      <c r="A334" s="104">
        <v>1510100000</v>
      </c>
      <c r="B334" s="104"/>
      <c r="C334" s="105" t="s">
        <v>191</v>
      </c>
      <c r="D334" s="37">
        <f aca="true" t="shared" si="64" ref="D334:E336">D335</f>
        <v>7924.2</v>
      </c>
      <c r="E334" s="37">
        <f t="shared" si="64"/>
        <v>7924.2</v>
      </c>
    </row>
    <row r="335" spans="1:5" ht="31.5">
      <c r="A335" s="104">
        <v>1510120010</v>
      </c>
      <c r="B335" s="104"/>
      <c r="C335" s="105" t="s">
        <v>121</v>
      </c>
      <c r="D335" s="37">
        <f t="shared" si="64"/>
        <v>7924.2</v>
      </c>
      <c r="E335" s="37">
        <f t="shared" si="64"/>
        <v>7924.2</v>
      </c>
    </row>
    <row r="336" spans="1:5" ht="31.5">
      <c r="A336" s="104">
        <v>1510120010</v>
      </c>
      <c r="B336" s="104">
        <v>600</v>
      </c>
      <c r="C336" s="105" t="s">
        <v>83</v>
      </c>
      <c r="D336" s="37">
        <f t="shared" si="64"/>
        <v>7924.2</v>
      </c>
      <c r="E336" s="37">
        <f t="shared" si="64"/>
        <v>7924.2</v>
      </c>
    </row>
    <row r="337" spans="1:5" ht="12.75">
      <c r="A337" s="104">
        <v>1510120010</v>
      </c>
      <c r="B337" s="104">
        <v>610</v>
      </c>
      <c r="C337" s="105" t="s">
        <v>101</v>
      </c>
      <c r="D337" s="37">
        <f>' № 7  рп, кцср, квр'!E155</f>
        <v>7924.2</v>
      </c>
      <c r="E337" s="37">
        <f>' № 7  рп, кцср, квр'!F155</f>
        <v>7924.2</v>
      </c>
    </row>
    <row r="338" spans="1:5" ht="47.25">
      <c r="A338" s="104">
        <v>1510200000</v>
      </c>
      <c r="B338" s="104"/>
      <c r="C338" s="105" t="s">
        <v>189</v>
      </c>
      <c r="D338" s="37">
        <f aca="true" t="shared" si="65" ref="D338:E340">D339</f>
        <v>110.5</v>
      </c>
      <c r="E338" s="37">
        <f t="shared" si="65"/>
        <v>93.8</v>
      </c>
    </row>
    <row r="339" spans="1:5" ht="31.5">
      <c r="A339" s="104">
        <v>1510220170</v>
      </c>
      <c r="B339" s="104"/>
      <c r="C339" s="105" t="s">
        <v>190</v>
      </c>
      <c r="D339" s="37">
        <f t="shared" si="65"/>
        <v>110.5</v>
      </c>
      <c r="E339" s="37">
        <f t="shared" si="65"/>
        <v>93.8</v>
      </c>
    </row>
    <row r="340" spans="1:5" ht="63">
      <c r="A340" s="104">
        <v>1510220170</v>
      </c>
      <c r="B340" s="104" t="s">
        <v>68</v>
      </c>
      <c r="C340" s="105" t="s">
        <v>1</v>
      </c>
      <c r="D340" s="37">
        <f t="shared" si="65"/>
        <v>110.5</v>
      </c>
      <c r="E340" s="37">
        <f t="shared" si="65"/>
        <v>93.8</v>
      </c>
    </row>
    <row r="341" spans="1:5" ht="31.5">
      <c r="A341" s="104">
        <v>1510220170</v>
      </c>
      <c r="B341" s="104">
        <v>120</v>
      </c>
      <c r="C341" s="105" t="s">
        <v>246</v>
      </c>
      <c r="D341" s="37">
        <f>'№ 6 ведом'!F65</f>
        <v>110.5</v>
      </c>
      <c r="E341" s="37">
        <f>'№ 6 ведом'!G65</f>
        <v>93.8</v>
      </c>
    </row>
    <row r="342" spans="1:5" ht="47.25">
      <c r="A342" s="140">
        <v>1510400000</v>
      </c>
      <c r="B342" s="74"/>
      <c r="C342" s="141" t="s">
        <v>395</v>
      </c>
      <c r="D342" s="37">
        <f aca="true" t="shared" si="66" ref="D342:E344">D343</f>
        <v>64</v>
      </c>
      <c r="E342" s="37">
        <f t="shared" si="66"/>
        <v>64</v>
      </c>
    </row>
    <row r="343" spans="1:5" ht="31.5">
      <c r="A343" s="140">
        <v>1510420030</v>
      </c>
      <c r="B343" s="74"/>
      <c r="C343" s="141" t="s">
        <v>396</v>
      </c>
      <c r="D343" s="37">
        <f t="shared" si="66"/>
        <v>64</v>
      </c>
      <c r="E343" s="37">
        <f t="shared" si="66"/>
        <v>64</v>
      </c>
    </row>
    <row r="344" spans="1:5" ht="31.5">
      <c r="A344" s="140">
        <v>1510420030</v>
      </c>
      <c r="B344" s="74">
        <v>600</v>
      </c>
      <c r="C344" s="141" t="s">
        <v>83</v>
      </c>
      <c r="D344" s="37">
        <f t="shared" si="66"/>
        <v>64</v>
      </c>
      <c r="E344" s="37">
        <f t="shared" si="66"/>
        <v>64</v>
      </c>
    </row>
    <row r="345" spans="1:5" ht="12.75">
      <c r="A345" s="140">
        <v>1510420030</v>
      </c>
      <c r="B345" s="74">
        <v>610</v>
      </c>
      <c r="C345" s="141" t="s">
        <v>101</v>
      </c>
      <c r="D345" s="37">
        <f>' № 7  рп, кцср, квр'!E156</f>
        <v>64</v>
      </c>
      <c r="E345" s="37">
        <f>' № 7  рп, кцср, квр'!F156</f>
        <v>64</v>
      </c>
    </row>
    <row r="346" spans="1:5" ht="16.5" customHeight="1">
      <c r="A346" s="106">
        <v>1520000000</v>
      </c>
      <c r="B346" s="104"/>
      <c r="C346" s="54" t="s">
        <v>293</v>
      </c>
      <c r="D346" s="37">
        <f>D355+D347+D351</f>
        <v>12987.6</v>
      </c>
      <c r="E346" s="37">
        <f>E355+E347+E351</f>
        <v>12987.5</v>
      </c>
    </row>
    <row r="347" spans="1:5" ht="63">
      <c r="A347" s="104">
        <v>1520100000</v>
      </c>
      <c r="B347" s="104"/>
      <c r="C347" s="54" t="s">
        <v>372</v>
      </c>
      <c r="D347" s="37">
        <f aca="true" t="shared" si="67" ref="D347:E349">D348</f>
        <v>2266.1</v>
      </c>
      <c r="E347" s="37">
        <f t="shared" si="67"/>
        <v>2266.1</v>
      </c>
    </row>
    <row r="348" spans="1:5" ht="31.5">
      <c r="A348" s="10" t="s">
        <v>373</v>
      </c>
      <c r="B348" s="104"/>
      <c r="C348" s="54" t="s">
        <v>374</v>
      </c>
      <c r="D348" s="37">
        <f t="shared" si="67"/>
        <v>2266.1</v>
      </c>
      <c r="E348" s="37">
        <f t="shared" si="67"/>
        <v>2266.1</v>
      </c>
    </row>
    <row r="349" spans="1:5" ht="31.5">
      <c r="A349" s="10" t="s">
        <v>373</v>
      </c>
      <c r="B349" s="106" t="s">
        <v>94</v>
      </c>
      <c r="C349" s="54" t="s">
        <v>95</v>
      </c>
      <c r="D349" s="37">
        <f t="shared" si="67"/>
        <v>2266.1</v>
      </c>
      <c r="E349" s="37">
        <f t="shared" si="67"/>
        <v>2266.1</v>
      </c>
    </row>
    <row r="350" spans="1:5" ht="12.75">
      <c r="A350" s="10" t="s">
        <v>373</v>
      </c>
      <c r="B350" s="104">
        <v>610</v>
      </c>
      <c r="C350" s="54" t="s">
        <v>101</v>
      </c>
      <c r="D350" s="37">
        <f>' № 7  рп, кцср, квр'!E535+' № 7  рп, кцср, квр'!E327+' № 7  рп, кцср, квр'!E416+' № 7  рп, кцср, квр'!E388</f>
        <v>2266.1</v>
      </c>
      <c r="E350" s="37">
        <f>' № 7  рп, кцср, квр'!F535+' № 7  рп, кцср, квр'!F327+' № 7  рп, кцср, квр'!F416+' № 7  рп, кцср, квр'!F388</f>
        <v>2266.1</v>
      </c>
    </row>
    <row r="351" spans="1:5" ht="47.25">
      <c r="A351" s="106">
        <v>1520200000</v>
      </c>
      <c r="B351" s="104"/>
      <c r="C351" s="105" t="s">
        <v>375</v>
      </c>
      <c r="D351" s="37">
        <f aca="true" t="shared" si="68" ref="D351:E353">D352</f>
        <v>187.7</v>
      </c>
      <c r="E351" s="37">
        <f t="shared" si="68"/>
        <v>187.6</v>
      </c>
    </row>
    <row r="352" spans="1:5" ht="12.75">
      <c r="A352" s="139">
        <v>1520220190</v>
      </c>
      <c r="B352" s="139"/>
      <c r="C352" s="138" t="s">
        <v>394</v>
      </c>
      <c r="D352" s="37">
        <f t="shared" si="68"/>
        <v>187.7</v>
      </c>
      <c r="E352" s="37">
        <f t="shared" si="68"/>
        <v>187.6</v>
      </c>
    </row>
    <row r="353" spans="1:5" ht="31.5">
      <c r="A353" s="139">
        <v>1520220190</v>
      </c>
      <c r="B353" s="139" t="s">
        <v>94</v>
      </c>
      <c r="C353" s="138" t="s">
        <v>95</v>
      </c>
      <c r="D353" s="37">
        <f t="shared" si="68"/>
        <v>187.7</v>
      </c>
      <c r="E353" s="37">
        <f t="shared" si="68"/>
        <v>187.6</v>
      </c>
    </row>
    <row r="354" spans="1:5" ht="12.75">
      <c r="A354" s="139">
        <v>1520220190</v>
      </c>
      <c r="B354" s="139">
        <v>610</v>
      </c>
      <c r="C354" s="138" t="s">
        <v>101</v>
      </c>
      <c r="D354" s="37">
        <f>' № 7  рп, кцср, квр'!E332</f>
        <v>187.7</v>
      </c>
      <c r="E354" s="37">
        <f>' № 7  рп, кцср, квр'!F332</f>
        <v>187.6</v>
      </c>
    </row>
    <row r="355" spans="1:5" ht="47.25">
      <c r="A355" s="106">
        <v>1520300000</v>
      </c>
      <c r="B355" s="104"/>
      <c r="C355" s="105" t="s">
        <v>346</v>
      </c>
      <c r="D355" s="37">
        <f aca="true" t="shared" si="69" ref="D355:E357">D356</f>
        <v>10533.8</v>
      </c>
      <c r="E355" s="37">
        <f t="shared" si="69"/>
        <v>10533.8</v>
      </c>
    </row>
    <row r="356" spans="1:5" ht="12.75">
      <c r="A356" s="106">
        <v>1520320200</v>
      </c>
      <c r="B356" s="104"/>
      <c r="C356" s="54" t="s">
        <v>347</v>
      </c>
      <c r="D356" s="37">
        <f t="shared" si="69"/>
        <v>10533.8</v>
      </c>
      <c r="E356" s="37">
        <f t="shared" si="69"/>
        <v>10533.8</v>
      </c>
    </row>
    <row r="357" spans="1:5" ht="31.5">
      <c r="A357" s="106">
        <v>1520320200</v>
      </c>
      <c r="B357" s="106" t="s">
        <v>94</v>
      </c>
      <c r="C357" s="54" t="s">
        <v>95</v>
      </c>
      <c r="D357" s="37">
        <f t="shared" si="69"/>
        <v>10533.8</v>
      </c>
      <c r="E357" s="37">
        <f t="shared" si="69"/>
        <v>10533.8</v>
      </c>
    </row>
    <row r="358" spans="1:5" ht="12.75">
      <c r="A358" s="106">
        <v>1520320200</v>
      </c>
      <c r="B358" s="104">
        <v>610</v>
      </c>
      <c r="C358" s="54" t="s">
        <v>101</v>
      </c>
      <c r="D358" s="37">
        <f>' № 7  рп, кцср, квр'!E420+' № 7  рп, кцср, квр'!E539+' № 7  рп, кцср, квр'!E644+' № 7  рп, кцср, квр'!E333+' № 7  рп, кцср, квр'!E392</f>
        <v>10533.8</v>
      </c>
      <c r="E358" s="37">
        <f>' № 7  рп, кцср, квр'!F420+' № 7  рп, кцср, квр'!F539+' № 7  рп, кцср, квр'!F644+' № 7  рп, кцср, квр'!F333+' № 7  рп, кцср, квр'!F392</f>
        <v>10533.8</v>
      </c>
    </row>
    <row r="359" spans="1:5" ht="47.25">
      <c r="A359" s="28">
        <v>1600000000</v>
      </c>
      <c r="B359" s="106"/>
      <c r="C359" s="44" t="s">
        <v>111</v>
      </c>
      <c r="D359" s="36">
        <f>D360+D372+D393+D405</f>
        <v>49018.700000000004</v>
      </c>
      <c r="E359" s="36">
        <f>E360+E372+E393+E405</f>
        <v>12987.499999999998</v>
      </c>
    </row>
    <row r="360" spans="1:5" ht="31.5">
      <c r="A360" s="106">
        <v>1610000000</v>
      </c>
      <c r="B360" s="104"/>
      <c r="C360" s="105" t="s">
        <v>223</v>
      </c>
      <c r="D360" s="37">
        <f>D361+D365</f>
        <v>31984.1</v>
      </c>
      <c r="E360" s="37">
        <f>E361+E365</f>
        <v>180.1</v>
      </c>
    </row>
    <row r="361" spans="1:5" ht="31.5">
      <c r="A361" s="106">
        <v>1610500000</v>
      </c>
      <c r="B361" s="104"/>
      <c r="C361" s="105" t="s">
        <v>341</v>
      </c>
      <c r="D361" s="37">
        <f aca="true" t="shared" si="70" ref="D361:E363">D362</f>
        <v>180.1</v>
      </c>
      <c r="E361" s="37">
        <f t="shared" si="70"/>
        <v>180.1</v>
      </c>
    </row>
    <row r="362" spans="1:5" ht="12.75">
      <c r="A362" s="106">
        <v>1610520400</v>
      </c>
      <c r="B362" s="104"/>
      <c r="C362" s="105" t="s">
        <v>342</v>
      </c>
      <c r="D362" s="37">
        <f t="shared" si="70"/>
        <v>180.1</v>
      </c>
      <c r="E362" s="37">
        <f t="shared" si="70"/>
        <v>180.1</v>
      </c>
    </row>
    <row r="363" spans="1:5" ht="31.5">
      <c r="A363" s="106">
        <v>1610520400</v>
      </c>
      <c r="B363" s="106" t="s">
        <v>94</v>
      </c>
      <c r="C363" s="105" t="s">
        <v>95</v>
      </c>
      <c r="D363" s="37">
        <f t="shared" si="70"/>
        <v>180.1</v>
      </c>
      <c r="E363" s="37">
        <f t="shared" si="70"/>
        <v>180.1</v>
      </c>
    </row>
    <row r="364" spans="1:5" ht="12.75">
      <c r="A364" s="106">
        <v>1610520400</v>
      </c>
      <c r="B364" s="104">
        <v>610</v>
      </c>
      <c r="C364" s="105" t="s">
        <v>101</v>
      </c>
      <c r="D364" s="37">
        <f>'№ 6 ведом'!F177</f>
        <v>180.1</v>
      </c>
      <c r="E364" s="37">
        <f>'№ 6 ведом'!G177</f>
        <v>180.1</v>
      </c>
    </row>
    <row r="365" spans="1:5" ht="31.5">
      <c r="A365" s="104">
        <v>1610400000</v>
      </c>
      <c r="B365" s="106"/>
      <c r="C365" s="54" t="s">
        <v>294</v>
      </c>
      <c r="D365" s="37">
        <f>D369+D366</f>
        <v>31804</v>
      </c>
      <c r="E365" s="37">
        <f>E369+E366</f>
        <v>0</v>
      </c>
    </row>
    <row r="366" spans="1:5" ht="31.5">
      <c r="A366" s="104">
        <v>1610411210</v>
      </c>
      <c r="B366" s="106"/>
      <c r="C366" s="54" t="s">
        <v>297</v>
      </c>
      <c r="D366" s="37">
        <f>D367</f>
        <v>31486</v>
      </c>
      <c r="E366" s="37">
        <f>E367</f>
        <v>0</v>
      </c>
    </row>
    <row r="367" spans="1:5" ht="31.5">
      <c r="A367" s="104">
        <v>1610411210</v>
      </c>
      <c r="B367" s="106" t="s">
        <v>72</v>
      </c>
      <c r="C367" s="54" t="s">
        <v>93</v>
      </c>
      <c r="D367" s="37">
        <f>D368</f>
        <v>31486</v>
      </c>
      <c r="E367" s="37">
        <f>E368</f>
        <v>0</v>
      </c>
    </row>
    <row r="368" spans="1:5" ht="12.75">
      <c r="A368" s="104">
        <v>1610411210</v>
      </c>
      <c r="B368" s="106" t="s">
        <v>117</v>
      </c>
      <c r="C368" s="54" t="s">
        <v>118</v>
      </c>
      <c r="D368" s="37">
        <f>' № 7  рп, кцср, квр'!E248</f>
        <v>31486</v>
      </c>
      <c r="E368" s="37">
        <f>' № 7  рп, кцср, квр'!F248</f>
        <v>0</v>
      </c>
    </row>
    <row r="369" spans="1:5" ht="31.5">
      <c r="A369" s="104" t="s">
        <v>295</v>
      </c>
      <c r="B369" s="106"/>
      <c r="C369" s="54" t="s">
        <v>296</v>
      </c>
      <c r="D369" s="37">
        <f>D370</f>
        <v>318</v>
      </c>
      <c r="E369" s="37">
        <f>E370</f>
        <v>0</v>
      </c>
    </row>
    <row r="370" spans="1:5" ht="31.5">
      <c r="A370" s="104" t="s">
        <v>295</v>
      </c>
      <c r="B370" s="106" t="s">
        <v>72</v>
      </c>
      <c r="C370" s="54" t="s">
        <v>93</v>
      </c>
      <c r="D370" s="37">
        <f>D371</f>
        <v>318</v>
      </c>
      <c r="E370" s="37">
        <f>E371</f>
        <v>0</v>
      </c>
    </row>
    <row r="371" spans="1:5" ht="12.75">
      <c r="A371" s="104" t="s">
        <v>295</v>
      </c>
      <c r="B371" s="106" t="s">
        <v>117</v>
      </c>
      <c r="C371" s="54" t="s">
        <v>118</v>
      </c>
      <c r="D371" s="37">
        <f>' № 7  рп, кцср, квр'!E251</f>
        <v>318</v>
      </c>
      <c r="E371" s="37">
        <f>' № 7  рп, кцср, квр'!F251</f>
        <v>0</v>
      </c>
    </row>
    <row r="372" spans="1:5" ht="31.5">
      <c r="A372" s="106">
        <v>1620000000</v>
      </c>
      <c r="B372" s="106"/>
      <c r="C372" s="105" t="s">
        <v>104</v>
      </c>
      <c r="D372" s="37">
        <f>D373+D386</f>
        <v>12812.2</v>
      </c>
      <c r="E372" s="37">
        <f>E373+E386</f>
        <v>8621.599999999999</v>
      </c>
    </row>
    <row r="373" spans="1:5" ht="12.75">
      <c r="A373" s="106">
        <v>1620100000</v>
      </c>
      <c r="B373" s="106"/>
      <c r="C373" s="105" t="s">
        <v>105</v>
      </c>
      <c r="D373" s="37">
        <f>D374+D377+D380+D383</f>
        <v>7918.300000000001</v>
      </c>
      <c r="E373" s="37">
        <f>E374+E377+E380+E383</f>
        <v>7642.799999999999</v>
      </c>
    </row>
    <row r="374" spans="1:5" ht="12.75">
      <c r="A374" s="106">
        <v>1620120210</v>
      </c>
      <c r="B374" s="18"/>
      <c r="C374" s="105" t="s">
        <v>106</v>
      </c>
      <c r="D374" s="37">
        <f>D375</f>
        <v>5211.3</v>
      </c>
      <c r="E374" s="37">
        <f>E375</f>
        <v>4936.9</v>
      </c>
    </row>
    <row r="375" spans="1:5" ht="31.5">
      <c r="A375" s="106">
        <v>1620120210</v>
      </c>
      <c r="B375" s="106" t="s">
        <v>69</v>
      </c>
      <c r="C375" s="105" t="s">
        <v>92</v>
      </c>
      <c r="D375" s="37">
        <f>D376</f>
        <v>5211.3</v>
      </c>
      <c r="E375" s="37">
        <f>E376</f>
        <v>4936.9</v>
      </c>
    </row>
    <row r="376" spans="1:5" ht="31.5">
      <c r="A376" s="106">
        <v>1620120210</v>
      </c>
      <c r="B376" s="104">
        <v>240</v>
      </c>
      <c r="C376" s="105" t="s">
        <v>245</v>
      </c>
      <c r="D376" s="37">
        <f>' № 7  рп, кцср, квр'!E95</f>
        <v>5211.3</v>
      </c>
      <c r="E376" s="37">
        <f>' № 7  рп, кцср, квр'!F95</f>
        <v>4936.9</v>
      </c>
    </row>
    <row r="377" spans="1:5" ht="31.5">
      <c r="A377" s="106">
        <v>1620120220</v>
      </c>
      <c r="B377" s="104"/>
      <c r="C377" s="105" t="s">
        <v>103</v>
      </c>
      <c r="D377" s="37">
        <f>D378</f>
        <v>185.6</v>
      </c>
      <c r="E377" s="37">
        <f>E378</f>
        <v>184.6</v>
      </c>
    </row>
    <row r="378" spans="1:5" ht="31.5">
      <c r="A378" s="106">
        <v>1620120220</v>
      </c>
      <c r="B378" s="106" t="s">
        <v>69</v>
      </c>
      <c r="C378" s="105" t="s">
        <v>92</v>
      </c>
      <c r="D378" s="37">
        <f>D379</f>
        <v>185.6</v>
      </c>
      <c r="E378" s="37">
        <f>E379</f>
        <v>184.6</v>
      </c>
    </row>
    <row r="379" spans="1:5" ht="31.5">
      <c r="A379" s="106">
        <v>1620120220</v>
      </c>
      <c r="B379" s="104">
        <v>240</v>
      </c>
      <c r="C379" s="105" t="s">
        <v>245</v>
      </c>
      <c r="D379" s="37">
        <f>' № 7  рп, кцср, квр'!E98</f>
        <v>185.6</v>
      </c>
      <c r="E379" s="37">
        <f>' № 7  рп, кцср, квр'!F98</f>
        <v>184.6</v>
      </c>
    </row>
    <row r="380" spans="1:5" ht="47.25">
      <c r="A380" s="106">
        <v>1620120230</v>
      </c>
      <c r="B380" s="106"/>
      <c r="C380" s="105" t="s">
        <v>110</v>
      </c>
      <c r="D380" s="37">
        <f>D381</f>
        <v>2221.4</v>
      </c>
      <c r="E380" s="37">
        <f>E381</f>
        <v>2221.4</v>
      </c>
    </row>
    <row r="381" spans="1:5" ht="31.5">
      <c r="A381" s="106">
        <v>1620120230</v>
      </c>
      <c r="B381" s="106" t="s">
        <v>69</v>
      </c>
      <c r="C381" s="105" t="s">
        <v>92</v>
      </c>
      <c r="D381" s="37">
        <f>D382</f>
        <v>2221.4</v>
      </c>
      <c r="E381" s="37">
        <f>E382</f>
        <v>2221.4</v>
      </c>
    </row>
    <row r="382" spans="1:5" ht="31.5">
      <c r="A382" s="106">
        <v>1620120230</v>
      </c>
      <c r="B382" s="104">
        <v>240</v>
      </c>
      <c r="C382" s="105" t="s">
        <v>245</v>
      </c>
      <c r="D382" s="37">
        <f>' № 7  рп, кцср, квр'!E227</f>
        <v>2221.4</v>
      </c>
      <c r="E382" s="37">
        <f>' № 7  рп, кцср, квр'!F227</f>
        <v>2221.4</v>
      </c>
    </row>
    <row r="383" spans="1:5" ht="31.5">
      <c r="A383" s="106">
        <v>1620120240</v>
      </c>
      <c r="B383" s="106"/>
      <c r="C383" s="105" t="s">
        <v>108</v>
      </c>
      <c r="D383" s="37">
        <f>D384</f>
        <v>300</v>
      </c>
      <c r="E383" s="37">
        <f>E384</f>
        <v>299.9</v>
      </c>
    </row>
    <row r="384" spans="1:5" ht="31.5">
      <c r="A384" s="106">
        <v>1620120240</v>
      </c>
      <c r="B384" s="106" t="s">
        <v>69</v>
      </c>
      <c r="C384" s="105" t="s">
        <v>92</v>
      </c>
      <c r="D384" s="37">
        <f>D385</f>
        <v>300</v>
      </c>
      <c r="E384" s="37">
        <f>E385</f>
        <v>299.9</v>
      </c>
    </row>
    <row r="385" spans="1:5" ht="31.5">
      <c r="A385" s="106">
        <v>1620120240</v>
      </c>
      <c r="B385" s="104">
        <v>240</v>
      </c>
      <c r="C385" s="105" t="s">
        <v>245</v>
      </c>
      <c r="D385" s="37">
        <f>' № 7  рп, кцср, квр'!E219</f>
        <v>300</v>
      </c>
      <c r="E385" s="37">
        <f>' № 7  рп, кцср, квр'!F219</f>
        <v>299.9</v>
      </c>
    </row>
    <row r="386" spans="1:5" ht="12.75">
      <c r="A386" s="106">
        <v>1620200000</v>
      </c>
      <c r="B386" s="106"/>
      <c r="C386" s="105" t="s">
        <v>109</v>
      </c>
      <c r="D386" s="37">
        <f>D387+D390</f>
        <v>4893.9</v>
      </c>
      <c r="E386" s="37">
        <f>E387+E390</f>
        <v>978.8</v>
      </c>
    </row>
    <row r="387" spans="1:5" ht="63">
      <c r="A387" s="106">
        <v>1620210820</v>
      </c>
      <c r="B387" s="106"/>
      <c r="C387" s="105" t="s">
        <v>240</v>
      </c>
      <c r="D387" s="37">
        <f>D388</f>
        <v>1957.6</v>
      </c>
      <c r="E387" s="37">
        <f>E388</f>
        <v>0</v>
      </c>
    </row>
    <row r="388" spans="1:5" ht="31.5">
      <c r="A388" s="106">
        <v>1620210820</v>
      </c>
      <c r="B388" s="106" t="s">
        <v>72</v>
      </c>
      <c r="C388" s="105" t="s">
        <v>93</v>
      </c>
      <c r="D388" s="37">
        <f>D389</f>
        <v>1957.6</v>
      </c>
      <c r="E388" s="37">
        <f>E389</f>
        <v>0</v>
      </c>
    </row>
    <row r="389" spans="1:5" ht="12.75">
      <c r="A389" s="106">
        <v>1620210820</v>
      </c>
      <c r="B389" s="106" t="s">
        <v>117</v>
      </c>
      <c r="C389" s="105" t="s">
        <v>118</v>
      </c>
      <c r="D389" s="37">
        <f>' № 7  рп, кцср, квр'!E590</f>
        <v>1957.6</v>
      </c>
      <c r="E389" s="37">
        <f>' № 7  рп, кцср, квр'!F590</f>
        <v>0</v>
      </c>
    </row>
    <row r="390" spans="1:5" ht="47.25">
      <c r="A390" s="106" t="s">
        <v>263</v>
      </c>
      <c r="B390" s="106"/>
      <c r="C390" s="54" t="s">
        <v>264</v>
      </c>
      <c r="D390" s="37">
        <f>D391</f>
        <v>2936.3</v>
      </c>
      <c r="E390" s="37">
        <f>E391</f>
        <v>978.8</v>
      </c>
    </row>
    <row r="391" spans="1:5" ht="31.5">
      <c r="A391" s="106" t="s">
        <v>263</v>
      </c>
      <c r="B391" s="106" t="s">
        <v>72</v>
      </c>
      <c r="C391" s="54" t="s">
        <v>93</v>
      </c>
      <c r="D391" s="37">
        <f>D392</f>
        <v>2936.3</v>
      </c>
      <c r="E391" s="37">
        <f>E392</f>
        <v>978.8</v>
      </c>
    </row>
    <row r="392" spans="1:5" ht="12.75">
      <c r="A392" s="106" t="s">
        <v>263</v>
      </c>
      <c r="B392" s="106" t="s">
        <v>117</v>
      </c>
      <c r="C392" s="54" t="s">
        <v>118</v>
      </c>
      <c r="D392" s="37">
        <f>' № 7  рп, кцср, квр'!E593</f>
        <v>2936.3</v>
      </c>
      <c r="E392" s="37">
        <f>' № 7  рп, кцср, квр'!F593</f>
        <v>978.8</v>
      </c>
    </row>
    <row r="393" spans="1:5" ht="47.25">
      <c r="A393" s="106">
        <v>1630000000</v>
      </c>
      <c r="B393" s="104"/>
      <c r="C393" s="105" t="s">
        <v>224</v>
      </c>
      <c r="D393" s="37">
        <f>D394+D401</f>
        <v>4114.5</v>
      </c>
      <c r="E393" s="37">
        <f>E394+E401</f>
        <v>4087.5</v>
      </c>
    </row>
    <row r="394" spans="1:5" ht="47.25">
      <c r="A394" s="104">
        <v>1630100000</v>
      </c>
      <c r="B394" s="104"/>
      <c r="C394" s="105" t="s">
        <v>225</v>
      </c>
      <c r="D394" s="37">
        <f>D395+D398</f>
        <v>3712.1</v>
      </c>
      <c r="E394" s="37">
        <f>E395+E398</f>
        <v>3712.1</v>
      </c>
    </row>
    <row r="395" spans="1:5" ht="47.25">
      <c r="A395" s="104">
        <v>1630120180</v>
      </c>
      <c r="B395" s="104"/>
      <c r="C395" s="105" t="s">
        <v>226</v>
      </c>
      <c r="D395" s="37">
        <f>D396</f>
        <v>1428.4</v>
      </c>
      <c r="E395" s="37">
        <f>E396</f>
        <v>1428.4</v>
      </c>
    </row>
    <row r="396" spans="1:5" ht="31.5">
      <c r="A396" s="104">
        <v>1630120180</v>
      </c>
      <c r="B396" s="104" t="s">
        <v>69</v>
      </c>
      <c r="C396" s="105" t="s">
        <v>92</v>
      </c>
      <c r="D396" s="37">
        <f>D397</f>
        <v>1428.4</v>
      </c>
      <c r="E396" s="37">
        <f>E397</f>
        <v>1428.4</v>
      </c>
    </row>
    <row r="397" spans="1:5" ht="31.5">
      <c r="A397" s="104">
        <v>1630120180</v>
      </c>
      <c r="B397" s="104">
        <v>240</v>
      </c>
      <c r="C397" s="105" t="s">
        <v>245</v>
      </c>
      <c r="D397" s="37">
        <f>' № 7  рп, кцср, квр'!E103</f>
        <v>1428.4</v>
      </c>
      <c r="E397" s="37">
        <f>' № 7  рп, кцср, квр'!F103</f>
        <v>1428.4</v>
      </c>
    </row>
    <row r="398" spans="1:5" ht="47.25">
      <c r="A398" s="104">
        <v>1630120520</v>
      </c>
      <c r="B398" s="104"/>
      <c r="C398" s="105" t="s">
        <v>231</v>
      </c>
      <c r="D398" s="37">
        <f>D399</f>
        <v>2283.7</v>
      </c>
      <c r="E398" s="37">
        <f>E399</f>
        <v>2283.7</v>
      </c>
    </row>
    <row r="399" spans="1:5" ht="31.5">
      <c r="A399" s="104">
        <v>1630120520</v>
      </c>
      <c r="B399" s="104" t="s">
        <v>69</v>
      </c>
      <c r="C399" s="105" t="s">
        <v>92</v>
      </c>
      <c r="D399" s="37">
        <f>D400</f>
        <v>2283.7</v>
      </c>
      <c r="E399" s="37">
        <f>E400</f>
        <v>2283.7</v>
      </c>
    </row>
    <row r="400" spans="1:5" ht="31.5">
      <c r="A400" s="104">
        <v>1630120520</v>
      </c>
      <c r="B400" s="104">
        <v>240</v>
      </c>
      <c r="C400" s="105" t="s">
        <v>245</v>
      </c>
      <c r="D400" s="37">
        <f>' № 7  рп, кцср, квр'!E106</f>
        <v>2283.7</v>
      </c>
      <c r="E400" s="37">
        <f>' № 7  рп, кцср, квр'!F106</f>
        <v>2283.7</v>
      </c>
    </row>
    <row r="401" spans="1:5" ht="47.25">
      <c r="A401" s="104">
        <v>1630200000</v>
      </c>
      <c r="B401" s="104"/>
      <c r="C401" s="105" t="s">
        <v>227</v>
      </c>
      <c r="D401" s="37">
        <f aca="true" t="shared" si="71" ref="D401:E403">D402</f>
        <v>402.4</v>
      </c>
      <c r="E401" s="37">
        <f t="shared" si="71"/>
        <v>375.4</v>
      </c>
    </row>
    <row r="402" spans="1:5" ht="12.75">
      <c r="A402" s="104">
        <v>1630220530</v>
      </c>
      <c r="B402" s="104"/>
      <c r="C402" s="105" t="s">
        <v>228</v>
      </c>
      <c r="D402" s="37">
        <f t="shared" si="71"/>
        <v>402.4</v>
      </c>
      <c r="E402" s="37">
        <f t="shared" si="71"/>
        <v>375.4</v>
      </c>
    </row>
    <row r="403" spans="1:5" ht="31.5">
      <c r="A403" s="104">
        <v>1630220530</v>
      </c>
      <c r="B403" s="104" t="s">
        <v>69</v>
      </c>
      <c r="C403" s="105" t="s">
        <v>92</v>
      </c>
      <c r="D403" s="37">
        <f t="shared" si="71"/>
        <v>402.4</v>
      </c>
      <c r="E403" s="37">
        <f t="shared" si="71"/>
        <v>375.4</v>
      </c>
    </row>
    <row r="404" spans="1:5" ht="31.5">
      <c r="A404" s="104">
        <v>1630220530</v>
      </c>
      <c r="B404" s="104">
        <v>240</v>
      </c>
      <c r="C404" s="105" t="s">
        <v>245</v>
      </c>
      <c r="D404" s="37">
        <f>' № 7  рп, кцср, квр'!E110</f>
        <v>402.4</v>
      </c>
      <c r="E404" s="37">
        <f>' № 7  рп, кцср, квр'!F110</f>
        <v>375.4</v>
      </c>
    </row>
    <row r="405" spans="1:5" ht="47.25">
      <c r="A405" s="106">
        <v>1640000000</v>
      </c>
      <c r="B405" s="1"/>
      <c r="C405" s="46" t="s">
        <v>217</v>
      </c>
      <c r="D405" s="37">
        <f>D406+D410</f>
        <v>107.9</v>
      </c>
      <c r="E405" s="37">
        <f>E406+E410</f>
        <v>98.3</v>
      </c>
    </row>
    <row r="406" spans="1:5" ht="31.5">
      <c r="A406" s="106">
        <v>1640100000</v>
      </c>
      <c r="B406" s="104"/>
      <c r="C406" s="105" t="s">
        <v>219</v>
      </c>
      <c r="D406" s="37">
        <f aca="true" t="shared" si="72" ref="D406:E408">D407</f>
        <v>81.4</v>
      </c>
      <c r="E406" s="37">
        <f t="shared" si="72"/>
        <v>71.8</v>
      </c>
    </row>
    <row r="407" spans="1:5" ht="12.75">
      <c r="A407" s="106">
        <v>1640120510</v>
      </c>
      <c r="B407" s="104"/>
      <c r="C407" s="105" t="s">
        <v>221</v>
      </c>
      <c r="D407" s="37">
        <f t="shared" si="72"/>
        <v>81.4</v>
      </c>
      <c r="E407" s="37">
        <f t="shared" si="72"/>
        <v>71.8</v>
      </c>
    </row>
    <row r="408" spans="1:5" ht="31.5">
      <c r="A408" s="106">
        <v>1640120510</v>
      </c>
      <c r="B408" s="106" t="s">
        <v>69</v>
      </c>
      <c r="C408" s="105" t="s">
        <v>92</v>
      </c>
      <c r="D408" s="37">
        <f t="shared" si="72"/>
        <v>81.4</v>
      </c>
      <c r="E408" s="37">
        <f t="shared" si="72"/>
        <v>71.8</v>
      </c>
    </row>
    <row r="409" spans="1:5" ht="31.5">
      <c r="A409" s="106">
        <v>1640120510</v>
      </c>
      <c r="B409" s="104">
        <v>240</v>
      </c>
      <c r="C409" s="105" t="s">
        <v>245</v>
      </c>
      <c r="D409" s="37">
        <f>' № 7  рп, кцср, квр'!E427</f>
        <v>81.4</v>
      </c>
      <c r="E409" s="37">
        <f>' № 7  рп, кцср, квр'!F427</f>
        <v>71.8</v>
      </c>
    </row>
    <row r="410" spans="1:5" ht="31.5">
      <c r="A410" s="104">
        <v>1640200000</v>
      </c>
      <c r="B410" s="1"/>
      <c r="C410" s="46" t="s">
        <v>220</v>
      </c>
      <c r="D410" s="37">
        <f aca="true" t="shared" si="73" ref="D410:E412">D411</f>
        <v>26.5</v>
      </c>
      <c r="E410" s="37">
        <f t="shared" si="73"/>
        <v>26.5</v>
      </c>
    </row>
    <row r="411" spans="1:5" ht="12.75">
      <c r="A411" s="104">
        <v>1640220250</v>
      </c>
      <c r="B411" s="1"/>
      <c r="C411" s="46" t="s">
        <v>218</v>
      </c>
      <c r="D411" s="37">
        <f t="shared" si="73"/>
        <v>26.5</v>
      </c>
      <c r="E411" s="37">
        <f t="shared" si="73"/>
        <v>26.5</v>
      </c>
    </row>
    <row r="412" spans="1:5" ht="31.5">
      <c r="A412" s="104">
        <v>1640220250</v>
      </c>
      <c r="B412" s="106" t="s">
        <v>69</v>
      </c>
      <c r="C412" s="105" t="s">
        <v>92</v>
      </c>
      <c r="D412" s="37">
        <f t="shared" si="73"/>
        <v>26.5</v>
      </c>
      <c r="E412" s="37">
        <f t="shared" si="73"/>
        <v>26.5</v>
      </c>
    </row>
    <row r="413" spans="1:5" ht="31.5">
      <c r="A413" s="104">
        <v>1640220250</v>
      </c>
      <c r="B413" s="104">
        <v>240</v>
      </c>
      <c r="C413" s="105" t="s">
        <v>245</v>
      </c>
      <c r="D413" s="37">
        <f>' № 7  рп, кцср, квр'!E115</f>
        <v>26.5</v>
      </c>
      <c r="E413" s="37">
        <f>' № 7  рп, кцср, квр'!F115</f>
        <v>26.5</v>
      </c>
    </row>
    <row r="414" spans="1:5" ht="12.75">
      <c r="A414" s="16">
        <v>9900000000</v>
      </c>
      <c r="B414" s="16"/>
      <c r="C414" s="44" t="s">
        <v>102</v>
      </c>
      <c r="D414" s="36">
        <f>D415+D423+D438+D419</f>
        <v>78136.8</v>
      </c>
      <c r="E414" s="36">
        <f>E415+E423+E438+E419</f>
        <v>77303.5</v>
      </c>
    </row>
    <row r="415" spans="1:5" ht="12.75">
      <c r="A415" s="104">
        <v>9910000000</v>
      </c>
      <c r="B415" s="104"/>
      <c r="C415" s="105" t="s">
        <v>8</v>
      </c>
      <c r="D415" s="37">
        <f aca="true" t="shared" si="74" ref="D415:E417">D416</f>
        <v>800</v>
      </c>
      <c r="E415" s="37">
        <f t="shared" si="74"/>
        <v>0</v>
      </c>
    </row>
    <row r="416" spans="1:5" ht="31.5">
      <c r="A416" s="104">
        <v>9910020000</v>
      </c>
      <c r="B416" s="104"/>
      <c r="C416" s="105" t="s">
        <v>170</v>
      </c>
      <c r="D416" s="37">
        <f t="shared" si="74"/>
        <v>800</v>
      </c>
      <c r="E416" s="37">
        <f t="shared" si="74"/>
        <v>0</v>
      </c>
    </row>
    <row r="417" spans="1:5" ht="12.75">
      <c r="A417" s="104">
        <v>9910020000</v>
      </c>
      <c r="B417" s="106" t="s">
        <v>70</v>
      </c>
      <c r="C417" s="105" t="s">
        <v>71</v>
      </c>
      <c r="D417" s="37">
        <f t="shared" si="74"/>
        <v>800</v>
      </c>
      <c r="E417" s="37">
        <f t="shared" si="74"/>
        <v>0</v>
      </c>
    </row>
    <row r="418" spans="1:5" ht="12.75">
      <c r="A418" s="104">
        <v>9910020000</v>
      </c>
      <c r="B418" s="2" t="s">
        <v>171</v>
      </c>
      <c r="C418" s="46" t="s">
        <v>172</v>
      </c>
      <c r="D418" s="37">
        <f>'№ 6 ведом'!F488</f>
        <v>800</v>
      </c>
      <c r="E418" s="37">
        <f>'№ 6 ведом'!G488</f>
        <v>0</v>
      </c>
    </row>
    <row r="419" spans="1:5" ht="47.25">
      <c r="A419" s="115">
        <v>9920000000</v>
      </c>
      <c r="B419" s="115"/>
      <c r="C419" s="54" t="s">
        <v>377</v>
      </c>
      <c r="D419" s="37">
        <f aca="true" t="shared" si="75" ref="D419:E421">D420</f>
        <v>1288.1</v>
      </c>
      <c r="E419" s="37">
        <f t="shared" si="75"/>
        <v>1288.1</v>
      </c>
    </row>
    <row r="420" spans="1:5" ht="31.5">
      <c r="A420" s="115">
        <v>9920010920</v>
      </c>
      <c r="B420" s="115"/>
      <c r="C420" s="54" t="s">
        <v>378</v>
      </c>
      <c r="D420" s="37">
        <f t="shared" si="75"/>
        <v>1288.1</v>
      </c>
      <c r="E420" s="37">
        <f t="shared" si="75"/>
        <v>1288.1</v>
      </c>
    </row>
    <row r="421" spans="1:5" ht="31.5">
      <c r="A421" s="115">
        <v>9920010920</v>
      </c>
      <c r="B421" s="116" t="s">
        <v>94</v>
      </c>
      <c r="C421" s="54" t="s">
        <v>95</v>
      </c>
      <c r="D421" s="37">
        <f t="shared" si="75"/>
        <v>1288.1</v>
      </c>
      <c r="E421" s="37">
        <f t="shared" si="75"/>
        <v>1288.1</v>
      </c>
    </row>
    <row r="422" spans="1:5" ht="12.75">
      <c r="A422" s="115">
        <v>9920010920</v>
      </c>
      <c r="B422" s="115">
        <v>610</v>
      </c>
      <c r="C422" s="54" t="s">
        <v>101</v>
      </c>
      <c r="D422" s="37">
        <f>' № 7  рп, кцср, квр'!E544+' № 7  рп, кцср, квр'!E649+' № 7  рп, кцср, квр'!E397</f>
        <v>1288.1</v>
      </c>
      <c r="E422" s="37">
        <f>' № 7  рп, кцср, квр'!F544+' № 7  рп, кцср, квр'!F649+' № 7  рп, кцср, квр'!F397</f>
        <v>1288.1</v>
      </c>
    </row>
    <row r="423" spans="1:5" ht="31.5">
      <c r="A423" s="104">
        <v>9930000000</v>
      </c>
      <c r="B423" s="104"/>
      <c r="C423" s="105" t="s">
        <v>165</v>
      </c>
      <c r="D423" s="37">
        <f>D432+D429+D435+D424</f>
        <v>1575.7</v>
      </c>
      <c r="E423" s="37">
        <f>E432+E429+E435+E424</f>
        <v>1575.3000000000002</v>
      </c>
    </row>
    <row r="424" spans="1:5" ht="31.5">
      <c r="A424" s="104">
        <v>9930020490</v>
      </c>
      <c r="B424" s="104"/>
      <c r="C424" s="54" t="s">
        <v>367</v>
      </c>
      <c r="D424" s="37">
        <f>D427+D425</f>
        <v>814.9</v>
      </c>
      <c r="E424" s="37">
        <f>E427+E425</f>
        <v>814.9</v>
      </c>
    </row>
    <row r="425" spans="1:5" ht="31.5">
      <c r="A425" s="104">
        <v>9930020490</v>
      </c>
      <c r="B425" s="106" t="s">
        <v>69</v>
      </c>
      <c r="C425" s="105" t="s">
        <v>92</v>
      </c>
      <c r="D425" s="37">
        <f>D426</f>
        <v>78.6</v>
      </c>
      <c r="E425" s="37">
        <f>E426</f>
        <v>78.6</v>
      </c>
    </row>
    <row r="426" spans="1:5" ht="31.5">
      <c r="A426" s="104">
        <v>9930020490</v>
      </c>
      <c r="B426" s="104">
        <v>240</v>
      </c>
      <c r="C426" s="105" t="s">
        <v>245</v>
      </c>
      <c r="D426" s="37">
        <f>' № 7  рп, кцср, квр'!E120</f>
        <v>78.6</v>
      </c>
      <c r="E426" s="37">
        <f>' № 7  рп, кцср, квр'!F120</f>
        <v>78.6</v>
      </c>
    </row>
    <row r="427" spans="1:5" ht="12.75">
      <c r="A427" s="104">
        <v>9930020490</v>
      </c>
      <c r="B427" s="11" t="s">
        <v>70</v>
      </c>
      <c r="C427" s="42" t="s">
        <v>71</v>
      </c>
      <c r="D427" s="37">
        <f>D428</f>
        <v>736.3</v>
      </c>
      <c r="E427" s="37">
        <f>E428</f>
        <v>736.3</v>
      </c>
    </row>
    <row r="428" spans="1:5" ht="12.75">
      <c r="A428" s="104">
        <v>9930020490</v>
      </c>
      <c r="B428" s="1" t="s">
        <v>368</v>
      </c>
      <c r="C428" s="57" t="s">
        <v>369</v>
      </c>
      <c r="D428" s="37">
        <f>' № 7  рп, кцср, квр'!E207+' № 7  рп, кцср, квр'!E122+' № 7  рп, кцср, квр'!E301</f>
        <v>736.3</v>
      </c>
      <c r="E428" s="37">
        <f>' № 7  рп, кцср, квр'!F207+' № 7  рп, кцср, квр'!F122+' № 7  рп, кцср, квр'!F301</f>
        <v>736.3</v>
      </c>
    </row>
    <row r="429" spans="1:5" ht="12.75">
      <c r="A429" s="104">
        <v>9930020500</v>
      </c>
      <c r="B429" s="104"/>
      <c r="C429" s="54" t="s">
        <v>256</v>
      </c>
      <c r="D429" s="37">
        <f>D430</f>
        <v>12.3</v>
      </c>
      <c r="E429" s="37">
        <f>E430</f>
        <v>12.3</v>
      </c>
    </row>
    <row r="430" spans="1:5" ht="12.75">
      <c r="A430" s="104">
        <v>9930020500</v>
      </c>
      <c r="B430" s="104" t="s">
        <v>257</v>
      </c>
      <c r="C430" s="54" t="s">
        <v>258</v>
      </c>
      <c r="D430" s="37">
        <f>D431</f>
        <v>12.3</v>
      </c>
      <c r="E430" s="37">
        <f>E431</f>
        <v>12.3</v>
      </c>
    </row>
    <row r="431" spans="1:5" ht="12.75">
      <c r="A431" s="104">
        <v>9930020500</v>
      </c>
      <c r="B431" s="1" t="s">
        <v>259</v>
      </c>
      <c r="C431" s="57" t="s">
        <v>256</v>
      </c>
      <c r="D431" s="37">
        <f>' № 7  рп, кцср, квр'!E670</f>
        <v>12.3</v>
      </c>
      <c r="E431" s="37">
        <f>' № 7  рп, кцср, квр'!F670</f>
        <v>12.3</v>
      </c>
    </row>
    <row r="432" spans="1:5" ht="47.25">
      <c r="A432" s="104">
        <v>9930051200</v>
      </c>
      <c r="B432" s="104"/>
      <c r="C432" s="105" t="s">
        <v>166</v>
      </c>
      <c r="D432" s="37">
        <f>D433</f>
        <v>32.2</v>
      </c>
      <c r="E432" s="37">
        <f>E433</f>
        <v>31.9</v>
      </c>
    </row>
    <row r="433" spans="1:5" ht="31.5">
      <c r="A433" s="104">
        <v>9930051200</v>
      </c>
      <c r="B433" s="104" t="s">
        <v>69</v>
      </c>
      <c r="C433" s="105" t="s">
        <v>92</v>
      </c>
      <c r="D433" s="37">
        <f>D434</f>
        <v>32.2</v>
      </c>
      <c r="E433" s="37">
        <f>E434</f>
        <v>31.9</v>
      </c>
    </row>
    <row r="434" spans="1:5" ht="31.5">
      <c r="A434" s="104">
        <v>9930051200</v>
      </c>
      <c r="B434" s="104">
        <v>240</v>
      </c>
      <c r="C434" s="105" t="s">
        <v>245</v>
      </c>
      <c r="D434" s="37">
        <f>'№ 6 ведом'!F33</f>
        <v>32.2</v>
      </c>
      <c r="E434" s="37">
        <f>'№ 6 ведом'!G33</f>
        <v>31.9</v>
      </c>
    </row>
    <row r="435" spans="1:5" ht="31.5">
      <c r="A435" s="104">
        <v>9930054690</v>
      </c>
      <c r="B435" s="104"/>
      <c r="C435" s="54" t="s">
        <v>340</v>
      </c>
      <c r="D435" s="37">
        <f>D436</f>
        <v>716.3000000000001</v>
      </c>
      <c r="E435" s="37">
        <f>E436</f>
        <v>716.2</v>
      </c>
    </row>
    <row r="436" spans="1:5" ht="31.5">
      <c r="A436" s="104">
        <v>9930054690</v>
      </c>
      <c r="B436" s="104" t="s">
        <v>69</v>
      </c>
      <c r="C436" s="105" t="s">
        <v>92</v>
      </c>
      <c r="D436" s="37">
        <f>D437</f>
        <v>716.3000000000001</v>
      </c>
      <c r="E436" s="37">
        <f>E437</f>
        <v>716.2</v>
      </c>
    </row>
    <row r="437" spans="1:5" ht="31.5">
      <c r="A437" s="104">
        <v>9930054690</v>
      </c>
      <c r="B437" s="104">
        <v>240</v>
      </c>
      <c r="C437" s="105" t="s">
        <v>245</v>
      </c>
      <c r="D437" s="37">
        <f>' № 7  рп, кцср, квр'!E125</f>
        <v>716.3000000000001</v>
      </c>
      <c r="E437" s="37">
        <f>' № 7  рп, кцср, квр'!F125</f>
        <v>716.2</v>
      </c>
    </row>
    <row r="438" spans="1:5" ht="31.5">
      <c r="A438" s="104">
        <v>9990000000</v>
      </c>
      <c r="B438" s="104"/>
      <c r="C438" s="105" t="s">
        <v>155</v>
      </c>
      <c r="D438" s="37">
        <f>D439+D442+D448+D467</f>
        <v>74473</v>
      </c>
      <c r="E438" s="37">
        <f>E439+E442+E448+E467</f>
        <v>74440.09999999999</v>
      </c>
    </row>
    <row r="439" spans="1:5" ht="12.75">
      <c r="A439" s="104">
        <v>9990021000</v>
      </c>
      <c r="B439" s="24"/>
      <c r="C439" s="105" t="s">
        <v>156</v>
      </c>
      <c r="D439" s="37">
        <f>D440</f>
        <v>2314.1000000000004</v>
      </c>
      <c r="E439" s="37">
        <f>E440</f>
        <v>2314.1</v>
      </c>
    </row>
    <row r="440" spans="1:5" ht="63">
      <c r="A440" s="104">
        <v>9990021000</v>
      </c>
      <c r="B440" s="104" t="s">
        <v>68</v>
      </c>
      <c r="C440" s="105" t="s">
        <v>1</v>
      </c>
      <c r="D440" s="37">
        <f>D441</f>
        <v>2314.1000000000004</v>
      </c>
      <c r="E440" s="37">
        <f>E441</f>
        <v>2314.1</v>
      </c>
    </row>
    <row r="441" spans="1:5" ht="31.5">
      <c r="A441" s="104">
        <v>9990021000</v>
      </c>
      <c r="B441" s="104">
        <v>120</v>
      </c>
      <c r="C441" s="105" t="s">
        <v>246</v>
      </c>
      <c r="D441" s="37">
        <f>' № 7  рп, кцср, квр'!E13</f>
        <v>2314.1000000000004</v>
      </c>
      <c r="E441" s="37">
        <f>' № 7  рп, кцср, квр'!F13</f>
        <v>2314.1</v>
      </c>
    </row>
    <row r="442" spans="1:5" ht="31.5">
      <c r="A442" s="104">
        <v>9990100000</v>
      </c>
      <c r="B442" s="104"/>
      <c r="C442" s="105" t="s">
        <v>173</v>
      </c>
      <c r="D442" s="37">
        <f>D443</f>
        <v>2765.5</v>
      </c>
      <c r="E442" s="37">
        <f>E443</f>
        <v>2755.4</v>
      </c>
    </row>
    <row r="443" spans="1:5" ht="31.5">
      <c r="A443" s="104">
        <v>9990123000</v>
      </c>
      <c r="B443" s="104"/>
      <c r="C443" s="105" t="s">
        <v>174</v>
      </c>
      <c r="D443" s="37">
        <f>D444+D446</f>
        <v>2765.5</v>
      </c>
      <c r="E443" s="37">
        <f>E444+E446</f>
        <v>2755.4</v>
      </c>
    </row>
    <row r="444" spans="1:5" ht="63">
      <c r="A444" s="104">
        <v>9990123000</v>
      </c>
      <c r="B444" s="104" t="s">
        <v>68</v>
      </c>
      <c r="C444" s="105" t="s">
        <v>1</v>
      </c>
      <c r="D444" s="37">
        <f>D445</f>
        <v>2299.6</v>
      </c>
      <c r="E444" s="37">
        <f>E445</f>
        <v>2299.6</v>
      </c>
    </row>
    <row r="445" spans="1:5" ht="31.5">
      <c r="A445" s="104">
        <v>9990123000</v>
      </c>
      <c r="B445" s="104">
        <v>120</v>
      </c>
      <c r="C445" s="105" t="s">
        <v>246</v>
      </c>
      <c r="D445" s="37">
        <f>' № 7  рп, кцср, квр'!E20</f>
        <v>2299.6</v>
      </c>
      <c r="E445" s="37">
        <f>' № 7  рп, кцср, квр'!F20</f>
        <v>2299.6</v>
      </c>
    </row>
    <row r="446" spans="1:5" ht="31.5">
      <c r="A446" s="104">
        <v>9990123000</v>
      </c>
      <c r="B446" s="106" t="s">
        <v>69</v>
      </c>
      <c r="C446" s="105" t="s">
        <v>92</v>
      </c>
      <c r="D446" s="37">
        <f>D447</f>
        <v>465.9</v>
      </c>
      <c r="E446" s="37">
        <f>E447</f>
        <v>455.8</v>
      </c>
    </row>
    <row r="447" spans="1:5" ht="31.5">
      <c r="A447" s="104">
        <v>9990123000</v>
      </c>
      <c r="B447" s="104">
        <v>240</v>
      </c>
      <c r="C447" s="105" t="s">
        <v>245</v>
      </c>
      <c r="D447" s="37">
        <f>' № 7  рп, кцср, квр'!E22</f>
        <v>465.9</v>
      </c>
      <c r="E447" s="37">
        <f>' № 7  рп, кцср, квр'!F22</f>
        <v>455.8</v>
      </c>
    </row>
    <row r="448" spans="1:5" ht="31.5">
      <c r="A448" s="104">
        <v>9990200000</v>
      </c>
      <c r="B448" s="24"/>
      <c r="C448" s="105" t="s">
        <v>115</v>
      </c>
      <c r="D448" s="37">
        <f>D457+D449+D454+D464</f>
        <v>45187.899999999994</v>
      </c>
      <c r="E448" s="37">
        <f>E457+E449+E454+E464</f>
        <v>45167.69999999999</v>
      </c>
    </row>
    <row r="449" spans="1:5" ht="47.25">
      <c r="A449" s="104">
        <v>9990210510</v>
      </c>
      <c r="B449" s="104"/>
      <c r="C449" s="105" t="s">
        <v>157</v>
      </c>
      <c r="D449" s="37">
        <f>D450+D452</f>
        <v>668.0999999999999</v>
      </c>
      <c r="E449" s="37">
        <f>E450+E452</f>
        <v>668.0999999999999</v>
      </c>
    </row>
    <row r="450" spans="1:5" ht="63">
      <c r="A450" s="104">
        <v>9990210510</v>
      </c>
      <c r="B450" s="104" t="s">
        <v>68</v>
      </c>
      <c r="C450" s="105" t="s">
        <v>1</v>
      </c>
      <c r="D450" s="37">
        <f>D451</f>
        <v>661.8</v>
      </c>
      <c r="E450" s="37">
        <f>E451</f>
        <v>661.8</v>
      </c>
    </row>
    <row r="451" spans="1:5" ht="31.5">
      <c r="A451" s="104">
        <v>9990210510</v>
      </c>
      <c r="B451" s="104">
        <v>120</v>
      </c>
      <c r="C451" s="105" t="s">
        <v>246</v>
      </c>
      <c r="D451" s="37">
        <f>' № 7  рп, кцср, квр'!E29</f>
        <v>661.8</v>
      </c>
      <c r="E451" s="37">
        <f>' № 7  рп, кцср, квр'!F29</f>
        <v>661.8</v>
      </c>
    </row>
    <row r="452" spans="1:5" ht="31.5">
      <c r="A452" s="104">
        <v>9990210510</v>
      </c>
      <c r="B452" s="104" t="s">
        <v>69</v>
      </c>
      <c r="C452" s="105" t="s">
        <v>92</v>
      </c>
      <c r="D452" s="37">
        <f>D453</f>
        <v>6.3</v>
      </c>
      <c r="E452" s="37">
        <f>E453</f>
        <v>6.3</v>
      </c>
    </row>
    <row r="453" spans="1:5" ht="31.5">
      <c r="A453" s="104">
        <v>9990210510</v>
      </c>
      <c r="B453" s="104">
        <v>240</v>
      </c>
      <c r="C453" s="105" t="s">
        <v>245</v>
      </c>
      <c r="D453" s="37">
        <f>' № 7  рп, кцср, квр'!E31</f>
        <v>6.3</v>
      </c>
      <c r="E453" s="37">
        <f>' № 7  рп, кцср, квр'!F31</f>
        <v>6.3</v>
      </c>
    </row>
    <row r="454" spans="1:5" ht="63">
      <c r="A454" s="104">
        <v>9990210540</v>
      </c>
      <c r="B454" s="104"/>
      <c r="C454" s="105" t="s">
        <v>162</v>
      </c>
      <c r="D454" s="37">
        <f>D455</f>
        <v>266.5</v>
      </c>
      <c r="E454" s="37">
        <f>E455</f>
        <v>266.5</v>
      </c>
    </row>
    <row r="455" spans="1:5" ht="63">
      <c r="A455" s="104">
        <v>9990210540</v>
      </c>
      <c r="B455" s="104" t="s">
        <v>68</v>
      </c>
      <c r="C455" s="105" t="s">
        <v>1</v>
      </c>
      <c r="D455" s="37">
        <f>D456</f>
        <v>266.5</v>
      </c>
      <c r="E455" s="37">
        <f>E456</f>
        <v>266.5</v>
      </c>
    </row>
    <row r="456" spans="1:5" ht="31.5">
      <c r="A456" s="104">
        <v>9990210540</v>
      </c>
      <c r="B456" s="104">
        <v>120</v>
      </c>
      <c r="C456" s="105" t="s">
        <v>246</v>
      </c>
      <c r="D456" s="37">
        <f>' № 7  рп, кцср, квр'!E130</f>
        <v>266.5</v>
      </c>
      <c r="E456" s="37">
        <f>' № 7  рп, кцср, квр'!F130</f>
        <v>266.5</v>
      </c>
    </row>
    <row r="457" spans="1:5" ht="47.25">
      <c r="A457" s="104">
        <v>9990225000</v>
      </c>
      <c r="B457" s="104"/>
      <c r="C457" s="105" t="s">
        <v>116</v>
      </c>
      <c r="D457" s="37">
        <f>D458+D462+D460</f>
        <v>42861.1</v>
      </c>
      <c r="E457" s="37">
        <f>E458+E462+E460</f>
        <v>42840.899999999994</v>
      </c>
    </row>
    <row r="458" spans="1:5" ht="63">
      <c r="A458" s="104">
        <v>9990225000</v>
      </c>
      <c r="B458" s="104" t="s">
        <v>68</v>
      </c>
      <c r="C458" s="105" t="s">
        <v>1</v>
      </c>
      <c r="D458" s="37">
        <f>D459</f>
        <v>42648.5</v>
      </c>
      <c r="E458" s="37">
        <f>E459</f>
        <v>42630.2</v>
      </c>
    </row>
    <row r="459" spans="1:5" ht="31.5">
      <c r="A459" s="104">
        <v>9990225000</v>
      </c>
      <c r="B459" s="104">
        <v>120</v>
      </c>
      <c r="C459" s="105" t="s">
        <v>246</v>
      </c>
      <c r="D459" s="37">
        <f>' № 7  рп, кцср, квр'!E477+' № 7  рп, кцср, квр'!E133+' № 7  рп, кцср, квр'!E49+' № 7  рп, кцср, квр'!E34</f>
        <v>42648.5</v>
      </c>
      <c r="E459" s="37">
        <f>' № 7  рп, кцср, квр'!F477+' № 7  рп, кцср, квр'!F133+' № 7  рп, кцср, квр'!F49+' № 7  рп, кцср, квр'!F34</f>
        <v>42630.2</v>
      </c>
    </row>
    <row r="460" spans="1:5" ht="12.75">
      <c r="A460" s="137">
        <v>9990225000</v>
      </c>
      <c r="B460" s="137">
        <v>300</v>
      </c>
      <c r="C460" s="138" t="s">
        <v>74</v>
      </c>
      <c r="D460" s="37">
        <f>D461</f>
        <v>41.5</v>
      </c>
      <c r="E460" s="37">
        <f>E461</f>
        <v>41.5</v>
      </c>
    </row>
    <row r="461" spans="1:5" ht="31.5">
      <c r="A461" s="137">
        <v>9990225000</v>
      </c>
      <c r="B461" s="1" t="s">
        <v>98</v>
      </c>
      <c r="C461" s="46" t="s">
        <v>99</v>
      </c>
      <c r="D461" s="37">
        <f>' № 7  рп, кцср, квр'!E479</f>
        <v>41.5</v>
      </c>
      <c r="E461" s="37">
        <f>' № 7  рп, кцср, квр'!F479</f>
        <v>41.5</v>
      </c>
    </row>
    <row r="462" spans="1:5" ht="12.75">
      <c r="A462" s="104">
        <v>9990225000</v>
      </c>
      <c r="B462" s="104" t="s">
        <v>70</v>
      </c>
      <c r="C462" s="105" t="s">
        <v>71</v>
      </c>
      <c r="D462" s="37">
        <f>D463</f>
        <v>171.1</v>
      </c>
      <c r="E462" s="37">
        <f>E463</f>
        <v>169.20000000000002</v>
      </c>
    </row>
    <row r="463" spans="1:5" ht="12.75">
      <c r="A463" s="104">
        <v>9990225000</v>
      </c>
      <c r="B463" s="104">
        <v>850</v>
      </c>
      <c r="C463" s="105" t="s">
        <v>97</v>
      </c>
      <c r="D463" s="37">
        <f>' № 7  рп, кцср, квр'!E36+' № 7  рп, кцср, квр'!E51+' № 7  рп, кцср, квр'!E481</f>
        <v>171.1</v>
      </c>
      <c r="E463" s="37">
        <f>' № 7  рп, кцср, квр'!F36+' № 7  рп, кцср, квр'!F51+' № 7  рп, кцср, квр'!F481</f>
        <v>169.20000000000002</v>
      </c>
    </row>
    <row r="464" spans="1:5" ht="31.5">
      <c r="A464" s="104">
        <v>9990259302</v>
      </c>
      <c r="B464" s="104"/>
      <c r="C464" s="105" t="s">
        <v>169</v>
      </c>
      <c r="D464" s="37">
        <f>D465</f>
        <v>1392.2</v>
      </c>
      <c r="E464" s="37">
        <f>E465</f>
        <v>1392.2</v>
      </c>
    </row>
    <row r="465" spans="1:5" ht="63">
      <c r="A465" s="104">
        <v>9990259302</v>
      </c>
      <c r="B465" s="104" t="s">
        <v>68</v>
      </c>
      <c r="C465" s="105" t="s">
        <v>1</v>
      </c>
      <c r="D465" s="37">
        <f>D466</f>
        <v>1392.2</v>
      </c>
      <c r="E465" s="37">
        <f>E466</f>
        <v>1392.2</v>
      </c>
    </row>
    <row r="466" spans="1:5" ht="31.5">
      <c r="A466" s="104">
        <v>9990259302</v>
      </c>
      <c r="B466" s="104">
        <v>120</v>
      </c>
      <c r="C466" s="105" t="s">
        <v>246</v>
      </c>
      <c r="D466" s="37">
        <f>' № 7  рп, кцср, квр'!E148</f>
        <v>1392.2</v>
      </c>
      <c r="E466" s="37">
        <f>' № 7  рп, кцср, квр'!F148</f>
        <v>1392.2</v>
      </c>
    </row>
    <row r="467" spans="1:5" ht="31.5">
      <c r="A467" s="104">
        <v>9990300000</v>
      </c>
      <c r="B467" s="104"/>
      <c r="C467" s="105" t="s">
        <v>167</v>
      </c>
      <c r="D467" s="37">
        <f>D468+D470+D472</f>
        <v>24205.5</v>
      </c>
      <c r="E467" s="37">
        <f>E468+E470+E472</f>
        <v>24202.899999999998</v>
      </c>
    </row>
    <row r="468" spans="1:5" ht="63">
      <c r="A468" s="104">
        <v>9990300000</v>
      </c>
      <c r="B468" s="104" t="s">
        <v>68</v>
      </c>
      <c r="C468" s="105" t="s">
        <v>1</v>
      </c>
      <c r="D468" s="37">
        <f>D469</f>
        <v>16621.8</v>
      </c>
      <c r="E468" s="37">
        <f>E469</f>
        <v>16621.8</v>
      </c>
    </row>
    <row r="469" spans="1:5" ht="12.75">
      <c r="A469" s="104">
        <v>9990300000</v>
      </c>
      <c r="B469" s="104">
        <v>110</v>
      </c>
      <c r="C469" s="46" t="s">
        <v>168</v>
      </c>
      <c r="D469" s="37">
        <f>' № 7  рп, кцср, квр'!E136</f>
        <v>16621.8</v>
      </c>
      <c r="E469" s="37">
        <f>' № 7  рп, кцср, квр'!F136</f>
        <v>16621.8</v>
      </c>
    </row>
    <row r="470" spans="1:5" ht="31.5">
      <c r="A470" s="104">
        <v>9990300000</v>
      </c>
      <c r="B470" s="104" t="s">
        <v>69</v>
      </c>
      <c r="C470" s="105" t="s">
        <v>92</v>
      </c>
      <c r="D470" s="37">
        <f>D471</f>
        <v>7556.1</v>
      </c>
      <c r="E470" s="37">
        <f>E471</f>
        <v>7554.3</v>
      </c>
    </row>
    <row r="471" spans="1:5" ht="31.5">
      <c r="A471" s="104">
        <v>9990300000</v>
      </c>
      <c r="B471" s="104">
        <v>240</v>
      </c>
      <c r="C471" s="105" t="s">
        <v>245</v>
      </c>
      <c r="D471" s="37">
        <f>' № 7  рп, кцср, квр'!E138</f>
        <v>7556.1</v>
      </c>
      <c r="E471" s="37">
        <f>' № 7  рп, кцср, квр'!F138</f>
        <v>7554.3</v>
      </c>
    </row>
    <row r="472" spans="1:5" ht="12.75">
      <c r="A472" s="104">
        <v>9990300000</v>
      </c>
      <c r="B472" s="104" t="s">
        <v>70</v>
      </c>
      <c r="C472" s="105" t="s">
        <v>71</v>
      </c>
      <c r="D472" s="37">
        <f>D473</f>
        <v>27.6</v>
      </c>
      <c r="E472" s="37">
        <f>E473</f>
        <v>26.8</v>
      </c>
    </row>
    <row r="473" spans="1:5" ht="12.75">
      <c r="A473" s="104">
        <v>9990300000</v>
      </c>
      <c r="B473" s="104">
        <v>850</v>
      </c>
      <c r="C473" s="105" t="s">
        <v>97</v>
      </c>
      <c r="D473" s="37">
        <f>' № 7  рп, кцср, квр'!E140</f>
        <v>27.6</v>
      </c>
      <c r="E473" s="37">
        <f>' № 7  рп, кцср, квр'!F140</f>
        <v>26.8</v>
      </c>
    </row>
    <row r="475" spans="1:11" ht="12.75">
      <c r="A475" s="76"/>
      <c r="B475" s="76"/>
      <c r="C475" s="77"/>
      <c r="D475" s="78"/>
      <c r="E475" s="78"/>
      <c r="F475" s="76"/>
      <c r="K475" s="76"/>
    </row>
    <row r="476" spans="1:11" ht="12.75">
      <c r="A476" s="76"/>
      <c r="B476" s="76"/>
      <c r="C476" s="77"/>
      <c r="D476" s="78"/>
      <c r="E476" s="78"/>
      <c r="F476" s="76"/>
      <c r="K476" s="76"/>
    </row>
    <row r="477" spans="1:11" ht="12.75">
      <c r="A477" s="76"/>
      <c r="B477" s="76"/>
      <c r="C477" s="77"/>
      <c r="D477" s="78"/>
      <c r="E477" s="78"/>
      <c r="F477" s="76"/>
      <c r="K477" s="76"/>
    </row>
    <row r="478" spans="1:11" ht="12.75">
      <c r="A478" s="76"/>
      <c r="B478" s="76"/>
      <c r="C478" s="77"/>
      <c r="D478" s="78"/>
      <c r="E478" s="78"/>
      <c r="F478" s="76"/>
      <c r="K478" s="76"/>
    </row>
    <row r="479" spans="1:11" ht="12.75">
      <c r="A479" s="76"/>
      <c r="B479" s="76"/>
      <c r="C479" s="77"/>
      <c r="D479" s="78"/>
      <c r="E479" s="78"/>
      <c r="F479" s="76"/>
      <c r="K479" s="76"/>
    </row>
    <row r="480" spans="1:11" ht="12.75">
      <c r="A480" s="76"/>
      <c r="B480" s="76"/>
      <c r="C480" s="77"/>
      <c r="D480" s="78"/>
      <c r="E480" s="78"/>
      <c r="F480" s="76"/>
      <c r="K480" s="76"/>
    </row>
    <row r="481" spans="1:11" ht="12.75">
      <c r="A481" s="76"/>
      <c r="B481" s="76"/>
      <c r="C481" s="77"/>
      <c r="D481" s="78"/>
      <c r="E481" s="78"/>
      <c r="F481" s="76"/>
      <c r="K481" s="76"/>
    </row>
    <row r="482" spans="1:11" ht="12.75">
      <c r="A482" s="76"/>
      <c r="B482" s="76"/>
      <c r="C482" s="77"/>
      <c r="D482" s="78"/>
      <c r="E482" s="78"/>
      <c r="F482" s="76"/>
      <c r="K482" s="76"/>
    </row>
    <row r="483" spans="1:11" ht="12.75">
      <c r="A483" s="76"/>
      <c r="B483" s="76"/>
      <c r="C483" s="77"/>
      <c r="D483" s="78"/>
      <c r="E483" s="78"/>
      <c r="F483" s="76"/>
      <c r="K483" s="76"/>
    </row>
    <row r="484" spans="1:11" ht="12.75">
      <c r="A484" s="76"/>
      <c r="B484" s="76"/>
      <c r="C484" s="77"/>
      <c r="D484" s="78"/>
      <c r="E484" s="78"/>
      <c r="F484" s="76"/>
      <c r="K484" s="76"/>
    </row>
    <row r="485" spans="1:11" ht="12.75">
      <c r="A485" s="76"/>
      <c r="B485" s="76"/>
      <c r="C485" s="77"/>
      <c r="D485" s="78"/>
      <c r="E485" s="78"/>
      <c r="F485" s="76"/>
      <c r="K485" s="76"/>
    </row>
    <row r="486" spans="1:11" ht="12.75">
      <c r="A486" s="76"/>
      <c r="B486" s="76"/>
      <c r="C486" s="77"/>
      <c r="D486" s="78"/>
      <c r="E486" s="78"/>
      <c r="F486" s="76"/>
      <c r="K486" s="76"/>
    </row>
    <row r="487" spans="1:11" ht="12.75">
      <c r="A487" s="76"/>
      <c r="B487" s="76"/>
      <c r="C487" s="77"/>
      <c r="D487" s="78"/>
      <c r="E487" s="78"/>
      <c r="F487" s="76"/>
      <c r="K487" s="76"/>
    </row>
    <row r="488" spans="1:11" ht="12.75">
      <c r="A488" s="76"/>
      <c r="B488" s="76"/>
      <c r="C488" s="77"/>
      <c r="D488" s="78"/>
      <c r="E488" s="78"/>
      <c r="F488" s="76"/>
      <c r="K488" s="76"/>
    </row>
    <row r="489" spans="1:11" ht="12.75">
      <c r="A489" s="76"/>
      <c r="B489" s="76"/>
      <c r="C489" s="77"/>
      <c r="D489" s="78"/>
      <c r="E489" s="78"/>
      <c r="F489" s="76"/>
      <c r="K489" s="76"/>
    </row>
    <row r="490" spans="1:11" ht="12.75">
      <c r="A490" s="76"/>
      <c r="B490" s="76"/>
      <c r="C490" s="77"/>
      <c r="D490" s="78"/>
      <c r="E490" s="78"/>
      <c r="F490" s="76"/>
      <c r="K490" s="76"/>
    </row>
    <row r="491" spans="1:11" ht="12.75">
      <c r="A491" s="76"/>
      <c r="B491" s="76"/>
      <c r="C491" s="77"/>
      <c r="D491" s="78"/>
      <c r="E491" s="78"/>
      <c r="F491" s="76"/>
      <c r="K491" s="76"/>
    </row>
    <row r="492" spans="1:11" ht="12.75">
      <c r="A492" s="76"/>
      <c r="B492" s="76"/>
      <c r="C492" s="77"/>
      <c r="D492" s="78"/>
      <c r="E492" s="78"/>
      <c r="F492" s="76"/>
      <c r="K492" s="76"/>
    </row>
    <row r="493" spans="1:11" ht="12.75">
      <c r="A493" s="76"/>
      <c r="B493" s="76"/>
      <c r="C493" s="77"/>
      <c r="D493" s="78"/>
      <c r="E493" s="78"/>
      <c r="F493" s="76"/>
      <c r="K493" s="76"/>
    </row>
    <row r="494" spans="1:11" ht="12.75">
      <c r="A494" s="76"/>
      <c r="B494" s="76"/>
      <c r="C494" s="77"/>
      <c r="D494" s="78"/>
      <c r="E494" s="78"/>
      <c r="F494" s="76"/>
      <c r="K494" s="76"/>
    </row>
    <row r="495" spans="1:11" ht="12.75">
      <c r="A495" s="76"/>
      <c r="B495" s="76"/>
      <c r="C495" s="77"/>
      <c r="D495" s="78"/>
      <c r="E495" s="78"/>
      <c r="F495" s="76"/>
      <c r="K495" s="76"/>
    </row>
    <row r="496" spans="1:11" ht="12.75">
      <c r="A496" s="76"/>
      <c r="B496" s="76"/>
      <c r="C496" s="77"/>
      <c r="D496" s="78"/>
      <c r="E496" s="78"/>
      <c r="F496" s="76"/>
      <c r="K496" s="76"/>
    </row>
    <row r="497" spans="1:11" ht="12.75">
      <c r="A497" s="76"/>
      <c r="B497" s="76"/>
      <c r="C497" s="77"/>
      <c r="D497" s="78"/>
      <c r="E497" s="78"/>
      <c r="F497" s="76"/>
      <c r="K497" s="76"/>
    </row>
    <row r="498" spans="1:11" ht="12.75">
      <c r="A498" s="76"/>
      <c r="B498" s="76"/>
      <c r="C498" s="77"/>
      <c r="D498" s="78"/>
      <c r="E498" s="78"/>
      <c r="F498" s="76"/>
      <c r="K498" s="76"/>
    </row>
    <row r="499" spans="1:11" ht="12.75">
      <c r="A499" s="76"/>
      <c r="B499" s="76"/>
      <c r="C499" s="77"/>
      <c r="D499" s="78"/>
      <c r="E499" s="78"/>
      <c r="F499" s="76"/>
      <c r="K499" s="76"/>
    </row>
    <row r="500" spans="1:11" ht="12.75">
      <c r="A500" s="76"/>
      <c r="B500" s="76"/>
      <c r="C500" s="77"/>
      <c r="D500" s="78"/>
      <c r="E500" s="78"/>
      <c r="F500" s="76"/>
      <c r="K500" s="76"/>
    </row>
    <row r="501" spans="1:11" ht="12.75">
      <c r="A501" s="76"/>
      <c r="B501" s="76"/>
      <c r="C501" s="77"/>
      <c r="D501" s="78"/>
      <c r="E501" s="78"/>
      <c r="F501" s="76"/>
      <c r="K501" s="76"/>
    </row>
    <row r="502" spans="1:11" ht="12.75">
      <c r="A502" s="76"/>
      <c r="B502" s="76"/>
      <c r="C502" s="77"/>
      <c r="D502" s="78"/>
      <c r="E502" s="78"/>
      <c r="F502" s="76"/>
      <c r="K502" s="76"/>
    </row>
    <row r="503" spans="1:11" ht="12.75">
      <c r="A503" s="76"/>
      <c r="B503" s="76"/>
      <c r="C503" s="77"/>
      <c r="D503" s="78"/>
      <c r="E503" s="78"/>
      <c r="F503" s="76"/>
      <c r="K503" s="76"/>
    </row>
    <row r="504" spans="1:11" ht="12.75">
      <c r="A504" s="76"/>
      <c r="B504" s="76"/>
      <c r="C504" s="77"/>
      <c r="D504" s="78"/>
      <c r="E504" s="78"/>
      <c r="F504" s="76"/>
      <c r="K504" s="76"/>
    </row>
    <row r="505" spans="1:11" ht="12.75">
      <c r="A505" s="76"/>
      <c r="B505" s="76"/>
      <c r="C505" s="77"/>
      <c r="D505" s="78"/>
      <c r="E505" s="78"/>
      <c r="F505" s="76"/>
      <c r="K505" s="76"/>
    </row>
    <row r="506" spans="1:11" ht="12.75">
      <c r="A506" s="76"/>
      <c r="B506" s="76"/>
      <c r="C506" s="77"/>
      <c r="D506" s="78"/>
      <c r="E506" s="78"/>
      <c r="F506" s="76"/>
      <c r="K506" s="76"/>
    </row>
    <row r="507" spans="1:11" ht="12.75">
      <c r="A507" s="76"/>
      <c r="B507" s="76"/>
      <c r="C507" s="77"/>
      <c r="D507" s="78"/>
      <c r="E507" s="78"/>
      <c r="F507" s="76"/>
      <c r="K507" s="76"/>
    </row>
    <row r="508" spans="1:11" ht="12.75">
      <c r="A508" s="76"/>
      <c r="B508" s="76"/>
      <c r="C508" s="77"/>
      <c r="D508" s="78"/>
      <c r="E508" s="78"/>
      <c r="F508" s="76"/>
      <c r="K508" s="76"/>
    </row>
    <row r="509" spans="1:11" ht="12.75">
      <c r="A509" s="76"/>
      <c r="B509" s="76"/>
      <c r="C509" s="77"/>
      <c r="D509" s="78"/>
      <c r="E509" s="78"/>
      <c r="F509" s="76"/>
      <c r="K509" s="76"/>
    </row>
    <row r="510" spans="1:11" ht="12.75">
      <c r="A510" s="76"/>
      <c r="B510" s="76"/>
      <c r="C510" s="77"/>
      <c r="D510" s="78"/>
      <c r="E510" s="78"/>
      <c r="F510" s="76"/>
      <c r="K510" s="76"/>
    </row>
    <row r="511" spans="1:11" ht="12.75">
      <c r="A511" s="76"/>
      <c r="B511" s="76"/>
      <c r="C511" s="77"/>
      <c r="D511" s="78"/>
      <c r="E511" s="78"/>
      <c r="F511" s="76"/>
      <c r="K511" s="76"/>
    </row>
    <row r="512" spans="1:11" ht="12.75">
      <c r="A512" s="76"/>
      <c r="B512" s="76"/>
      <c r="C512" s="77"/>
      <c r="D512" s="78"/>
      <c r="E512" s="78"/>
      <c r="F512" s="76"/>
      <c r="K512" s="76"/>
    </row>
    <row r="513" spans="1:11" ht="12.75">
      <c r="A513" s="76"/>
      <c r="B513" s="76"/>
      <c r="C513" s="77"/>
      <c r="D513" s="78"/>
      <c r="E513" s="78"/>
      <c r="F513" s="76"/>
      <c r="K513" s="76"/>
    </row>
    <row r="514" spans="1:11" ht="12.75">
      <c r="A514" s="76"/>
      <c r="B514" s="76"/>
      <c r="C514" s="77"/>
      <c r="D514" s="78"/>
      <c r="E514" s="78"/>
      <c r="F514" s="76"/>
      <c r="K514" s="76"/>
    </row>
    <row r="515" spans="1:11" ht="12.75">
      <c r="A515" s="76"/>
      <c r="B515" s="76"/>
      <c r="C515" s="77"/>
      <c r="D515" s="78"/>
      <c r="E515" s="78"/>
      <c r="F515" s="76"/>
      <c r="K515" s="76"/>
    </row>
    <row r="516" spans="1:11" ht="12.75">
      <c r="A516" s="76"/>
      <c r="B516" s="76"/>
      <c r="C516" s="77"/>
      <c r="D516" s="78"/>
      <c r="E516" s="78"/>
      <c r="F516" s="76"/>
      <c r="K516" s="76"/>
    </row>
    <row r="517" spans="1:11" ht="12.75">
      <c r="A517" s="76"/>
      <c r="B517" s="76"/>
      <c r="C517" s="77"/>
      <c r="D517" s="78"/>
      <c r="E517" s="78"/>
      <c r="F517" s="76"/>
      <c r="K517" s="76"/>
    </row>
    <row r="518" spans="1:11" ht="12.75">
      <c r="A518" s="76"/>
      <c r="B518" s="76"/>
      <c r="C518" s="77"/>
      <c r="D518" s="78"/>
      <c r="E518" s="78"/>
      <c r="F518" s="76"/>
      <c r="K518" s="76"/>
    </row>
    <row r="519" spans="1:11" ht="12.75">
      <c r="A519" s="76"/>
      <c r="B519" s="76"/>
      <c r="C519" s="77"/>
      <c r="D519" s="78"/>
      <c r="E519" s="78"/>
      <c r="F519" s="76"/>
      <c r="K519" s="76"/>
    </row>
    <row r="520" spans="1:11" ht="12.75">
      <c r="A520" s="76"/>
      <c r="B520" s="76"/>
      <c r="C520" s="77"/>
      <c r="D520" s="78"/>
      <c r="E520" s="78"/>
      <c r="F520" s="76"/>
      <c r="K520" s="76"/>
    </row>
    <row r="521" spans="1:11" ht="12.75">
      <c r="A521" s="76"/>
      <c r="B521" s="76"/>
      <c r="C521" s="77"/>
      <c r="D521" s="78"/>
      <c r="E521" s="78"/>
      <c r="F521" s="76"/>
      <c r="K521" s="76"/>
    </row>
    <row r="522" spans="1:11" ht="12.75">
      <c r="A522" s="76"/>
      <c r="B522" s="76"/>
      <c r="C522" s="77"/>
      <c r="D522" s="78"/>
      <c r="E522" s="78"/>
      <c r="F522" s="76"/>
      <c r="K522" s="76"/>
    </row>
    <row r="523" spans="1:11" ht="12.75">
      <c r="A523" s="76"/>
      <c r="B523" s="76"/>
      <c r="C523" s="77"/>
      <c r="D523" s="78"/>
      <c r="E523" s="78"/>
      <c r="F523" s="76"/>
      <c r="K523" s="76"/>
    </row>
    <row r="524" spans="1:11" ht="12.75">
      <c r="A524" s="76"/>
      <c r="B524" s="76"/>
      <c r="C524" s="77"/>
      <c r="D524" s="78"/>
      <c r="E524" s="78"/>
      <c r="F524" s="76"/>
      <c r="K524" s="76"/>
    </row>
    <row r="525" spans="1:11" ht="12.75">
      <c r="A525" s="76"/>
      <c r="B525" s="76"/>
      <c r="C525" s="77"/>
      <c r="D525" s="78"/>
      <c r="E525" s="78"/>
      <c r="F525" s="76"/>
      <c r="K525" s="76"/>
    </row>
    <row r="526" spans="1:11" ht="12.75">
      <c r="A526" s="76"/>
      <c r="B526" s="76"/>
      <c r="C526" s="77"/>
      <c r="D526" s="78"/>
      <c r="E526" s="78"/>
      <c r="F526" s="76"/>
      <c r="K526" s="76"/>
    </row>
    <row r="527" spans="1:11" ht="12.75">
      <c r="A527" s="76"/>
      <c r="B527" s="76"/>
      <c r="C527" s="77"/>
      <c r="D527" s="78"/>
      <c r="E527" s="78"/>
      <c r="F527" s="76"/>
      <c r="K527" s="76"/>
    </row>
    <row r="528" spans="1:11" ht="12.75">
      <c r="A528" s="76"/>
      <c r="B528" s="76"/>
      <c r="C528" s="77"/>
      <c r="D528" s="78"/>
      <c r="E528" s="78"/>
      <c r="F528" s="76"/>
      <c r="K528" s="76"/>
    </row>
    <row r="529" spans="1:11" ht="12.75">
      <c r="A529" s="76"/>
      <c r="B529" s="76"/>
      <c r="C529" s="77"/>
      <c r="D529" s="78"/>
      <c r="E529" s="78"/>
      <c r="F529" s="76"/>
      <c r="K529" s="76"/>
    </row>
    <row r="530" spans="1:11" ht="12.75">
      <c r="A530" s="76"/>
      <c r="B530" s="76"/>
      <c r="C530" s="77"/>
      <c r="D530" s="78"/>
      <c r="E530" s="78"/>
      <c r="F530" s="76"/>
      <c r="K530" s="76"/>
    </row>
    <row r="531" spans="1:11" ht="12.75">
      <c r="A531" s="76"/>
      <c r="B531" s="76"/>
      <c r="C531" s="77"/>
      <c r="D531" s="78"/>
      <c r="E531" s="78"/>
      <c r="F531" s="76"/>
      <c r="K531" s="76"/>
    </row>
    <row r="532" spans="1:11" ht="12.75">
      <c r="A532" s="76"/>
      <c r="B532" s="76"/>
      <c r="C532" s="77"/>
      <c r="D532" s="78"/>
      <c r="E532" s="78"/>
      <c r="F532" s="76"/>
      <c r="K532" s="76"/>
    </row>
    <row r="533" spans="1:11" ht="12.75">
      <c r="A533" s="76"/>
      <c r="B533" s="76"/>
      <c r="C533" s="77"/>
      <c r="D533" s="78"/>
      <c r="E533" s="78"/>
      <c r="F533" s="76"/>
      <c r="K533" s="76"/>
    </row>
    <row r="534" spans="1:11" ht="12.75">
      <c r="A534" s="76"/>
      <c r="B534" s="76"/>
      <c r="C534" s="77"/>
      <c r="D534" s="78"/>
      <c r="E534" s="78"/>
      <c r="F534" s="76"/>
      <c r="K534" s="76"/>
    </row>
    <row r="535" spans="1:11" ht="12.75">
      <c r="A535" s="76"/>
      <c r="B535" s="76"/>
      <c r="C535" s="77"/>
      <c r="D535" s="78"/>
      <c r="E535" s="78"/>
      <c r="F535" s="76"/>
      <c r="K535" s="76"/>
    </row>
    <row r="536" spans="1:11" ht="12.75">
      <c r="A536" s="76"/>
      <c r="B536" s="76"/>
      <c r="C536" s="77"/>
      <c r="D536" s="78"/>
      <c r="E536" s="78"/>
      <c r="F536" s="76"/>
      <c r="K536" s="76"/>
    </row>
    <row r="537" spans="1:11" ht="12.75">
      <c r="A537" s="76"/>
      <c r="B537" s="76"/>
      <c r="C537" s="77"/>
      <c r="D537" s="78"/>
      <c r="E537" s="78"/>
      <c r="F537" s="76"/>
      <c r="K537" s="76"/>
    </row>
    <row r="538" spans="1:11" ht="12.75">
      <c r="A538" s="76"/>
      <c r="B538" s="76"/>
      <c r="C538" s="77"/>
      <c r="D538" s="78"/>
      <c r="E538" s="78"/>
      <c r="F538" s="76"/>
      <c r="K538" s="76"/>
    </row>
    <row r="539" spans="1:11" ht="12.75">
      <c r="A539" s="76"/>
      <c r="B539" s="76"/>
      <c r="C539" s="77"/>
      <c r="D539" s="78"/>
      <c r="E539" s="78"/>
      <c r="F539" s="76"/>
      <c r="K539" s="76"/>
    </row>
    <row r="540" spans="1:11" ht="12.75">
      <c r="A540" s="76"/>
      <c r="B540" s="76"/>
      <c r="C540" s="77"/>
      <c r="D540" s="78"/>
      <c r="E540" s="78"/>
      <c r="F540" s="76"/>
      <c r="K540" s="76"/>
    </row>
    <row r="541" spans="1:11" ht="12.75">
      <c r="A541" s="76"/>
      <c r="B541" s="76"/>
      <c r="C541" s="77"/>
      <c r="D541" s="78"/>
      <c r="E541" s="78"/>
      <c r="F541" s="76"/>
      <c r="K541" s="76"/>
    </row>
    <row r="542" spans="1:11" ht="12.75">
      <c r="A542" s="76"/>
      <c r="B542" s="76"/>
      <c r="C542" s="77"/>
      <c r="D542" s="78"/>
      <c r="E542" s="78"/>
      <c r="F542" s="76"/>
      <c r="K542" s="76"/>
    </row>
    <row r="543" spans="1:11" ht="12.75">
      <c r="A543" s="76"/>
      <c r="B543" s="76"/>
      <c r="C543" s="77"/>
      <c r="D543" s="78"/>
      <c r="E543" s="78"/>
      <c r="F543" s="76"/>
      <c r="K543" s="76"/>
    </row>
    <row r="544" spans="1:11" ht="12.75">
      <c r="A544" s="76"/>
      <c r="B544" s="76"/>
      <c r="C544" s="77"/>
      <c r="D544" s="78"/>
      <c r="E544" s="78"/>
      <c r="F544" s="76"/>
      <c r="K544" s="76"/>
    </row>
    <row r="545" spans="1:11" ht="12.75">
      <c r="A545" s="76"/>
      <c r="B545" s="76"/>
      <c r="C545" s="77"/>
      <c r="D545" s="78"/>
      <c r="E545" s="78"/>
      <c r="F545" s="76"/>
      <c r="K545" s="76"/>
    </row>
    <row r="546" spans="1:11" ht="12.75">
      <c r="A546" s="76"/>
      <c r="B546" s="76"/>
      <c r="C546" s="77"/>
      <c r="D546" s="78"/>
      <c r="E546" s="78"/>
      <c r="F546" s="76"/>
      <c r="K546" s="76"/>
    </row>
    <row r="547" spans="1:11" ht="12.75">
      <c r="A547" s="76"/>
      <c r="B547" s="76"/>
      <c r="C547" s="77"/>
      <c r="D547" s="78"/>
      <c r="E547" s="78"/>
      <c r="F547" s="76"/>
      <c r="K547" s="76"/>
    </row>
    <row r="548" spans="1:11" ht="12.75">
      <c r="A548" s="76"/>
      <c r="B548" s="76"/>
      <c r="C548" s="77"/>
      <c r="D548" s="78"/>
      <c r="E548" s="78"/>
      <c r="F548" s="76"/>
      <c r="K548" s="76"/>
    </row>
    <row r="549" spans="1:11" ht="12.75">
      <c r="A549" s="76"/>
      <c r="B549" s="76"/>
      <c r="C549" s="77"/>
      <c r="D549" s="78"/>
      <c r="E549" s="78"/>
      <c r="F549" s="76"/>
      <c r="K549" s="76"/>
    </row>
    <row r="550" spans="1:11" ht="12.75">
      <c r="A550" s="76"/>
      <c r="B550" s="76"/>
      <c r="C550" s="77"/>
      <c r="D550" s="78"/>
      <c r="E550" s="78"/>
      <c r="F550" s="76"/>
      <c r="K550" s="76"/>
    </row>
    <row r="551" spans="1:11" ht="12.75">
      <c r="A551" s="76"/>
      <c r="B551" s="76"/>
      <c r="C551" s="77"/>
      <c r="D551" s="78"/>
      <c r="E551" s="78"/>
      <c r="F551" s="76"/>
      <c r="K551" s="76"/>
    </row>
    <row r="552" spans="1:11" ht="12.75">
      <c r="A552" s="76"/>
      <c r="B552" s="76"/>
      <c r="C552" s="77"/>
      <c r="D552" s="78"/>
      <c r="E552" s="78"/>
      <c r="F552" s="76"/>
      <c r="K552" s="76"/>
    </row>
    <row r="553" spans="1:11" ht="12.75">
      <c r="A553" s="76"/>
      <c r="B553" s="76"/>
      <c r="C553" s="77"/>
      <c r="D553" s="78"/>
      <c r="E553" s="78"/>
      <c r="F553" s="76"/>
      <c r="K553" s="76"/>
    </row>
    <row r="554" spans="1:11" ht="12.75">
      <c r="A554" s="76"/>
      <c r="B554" s="76"/>
      <c r="C554" s="77"/>
      <c r="D554" s="78"/>
      <c r="E554" s="78"/>
      <c r="F554" s="76"/>
      <c r="K554" s="76"/>
    </row>
    <row r="555" spans="1:11" ht="12.75">
      <c r="A555" s="76"/>
      <c r="B555" s="76"/>
      <c r="C555" s="77"/>
      <c r="D555" s="78"/>
      <c r="E555" s="78"/>
      <c r="F555" s="76"/>
      <c r="K555" s="76"/>
    </row>
    <row r="556" spans="1:11" ht="12.75">
      <c r="A556" s="76"/>
      <c r="B556" s="76"/>
      <c r="C556" s="77"/>
      <c r="D556" s="78"/>
      <c r="E556" s="78"/>
      <c r="F556" s="76"/>
      <c r="K556" s="76"/>
    </row>
    <row r="557" spans="1:11" ht="12.75">
      <c r="A557" s="76"/>
      <c r="B557" s="76"/>
      <c r="C557" s="77"/>
      <c r="D557" s="78"/>
      <c r="E557" s="78"/>
      <c r="F557" s="76"/>
      <c r="K557" s="76"/>
    </row>
    <row r="558" spans="1:11" ht="12.75">
      <c r="A558" s="76"/>
      <c r="B558" s="76"/>
      <c r="C558" s="77"/>
      <c r="D558" s="78"/>
      <c r="E558" s="78"/>
      <c r="F558" s="76"/>
      <c r="K558" s="76"/>
    </row>
    <row r="559" spans="1:11" ht="12.75">
      <c r="A559" s="76"/>
      <c r="B559" s="76"/>
      <c r="C559" s="77"/>
      <c r="D559" s="78"/>
      <c r="E559" s="78"/>
      <c r="F559" s="76"/>
      <c r="K559" s="76"/>
    </row>
    <row r="560" spans="1:11" ht="12.75">
      <c r="A560" s="76"/>
      <c r="B560" s="76"/>
      <c r="C560" s="77"/>
      <c r="D560" s="78"/>
      <c r="E560" s="78"/>
      <c r="F560" s="76"/>
      <c r="K560" s="76"/>
    </row>
    <row r="561" spans="1:11" ht="12.75">
      <c r="A561" s="76"/>
      <c r="B561" s="76"/>
      <c r="C561" s="77"/>
      <c r="D561" s="78"/>
      <c r="E561" s="78"/>
      <c r="F561" s="76"/>
      <c r="K561" s="76"/>
    </row>
    <row r="562" spans="1:11" ht="12.75">
      <c r="A562" s="76"/>
      <c r="B562" s="76"/>
      <c r="C562" s="77"/>
      <c r="D562" s="78"/>
      <c r="E562" s="78"/>
      <c r="F562" s="76"/>
      <c r="K562" s="76"/>
    </row>
    <row r="563" spans="1:11" ht="12.75">
      <c r="A563" s="76"/>
      <c r="B563" s="76"/>
      <c r="C563" s="77"/>
      <c r="D563" s="78"/>
      <c r="E563" s="78"/>
      <c r="F563" s="76"/>
      <c r="K563" s="76"/>
    </row>
    <row r="564" spans="1:11" ht="12.75">
      <c r="A564" s="76"/>
      <c r="B564" s="76"/>
      <c r="C564" s="77"/>
      <c r="D564" s="78"/>
      <c r="E564" s="78"/>
      <c r="F564" s="76"/>
      <c r="K564" s="76"/>
    </row>
    <row r="565" spans="1:11" ht="12.75">
      <c r="A565" s="76"/>
      <c r="B565" s="76"/>
      <c r="C565" s="77"/>
      <c r="D565" s="78"/>
      <c r="E565" s="78"/>
      <c r="F565" s="76"/>
      <c r="K565" s="76"/>
    </row>
    <row r="566" spans="1:11" ht="12.75">
      <c r="A566" s="76"/>
      <c r="B566" s="76"/>
      <c r="C566" s="77"/>
      <c r="D566" s="78"/>
      <c r="E566" s="78"/>
      <c r="F566" s="76"/>
      <c r="K566" s="76"/>
    </row>
    <row r="567" spans="1:11" ht="12.75">
      <c r="A567" s="76"/>
      <c r="B567" s="76"/>
      <c r="C567" s="77"/>
      <c r="D567" s="78"/>
      <c r="E567" s="78"/>
      <c r="F567" s="76"/>
      <c r="K567" s="76"/>
    </row>
    <row r="568" spans="1:11" ht="12.75">
      <c r="A568" s="76"/>
      <c r="B568" s="76"/>
      <c r="C568" s="77"/>
      <c r="D568" s="78"/>
      <c r="E568" s="78"/>
      <c r="F568" s="76"/>
      <c r="K568" s="76"/>
    </row>
    <row r="569" spans="1:11" ht="12.75">
      <c r="A569" s="76"/>
      <c r="B569" s="76"/>
      <c r="C569" s="77"/>
      <c r="D569" s="78"/>
      <c r="E569" s="78"/>
      <c r="F569" s="76"/>
      <c r="K569" s="76"/>
    </row>
    <row r="570" spans="1:11" ht="12.75">
      <c r="A570" s="76"/>
      <c r="B570" s="76"/>
      <c r="C570" s="77"/>
      <c r="D570" s="78"/>
      <c r="E570" s="78"/>
      <c r="F570" s="76"/>
      <c r="K570" s="76"/>
    </row>
    <row r="571" spans="1:11" ht="12.75">
      <c r="A571" s="76"/>
      <c r="B571" s="76"/>
      <c r="C571" s="77"/>
      <c r="D571" s="78"/>
      <c r="E571" s="78"/>
      <c r="F571" s="76"/>
      <c r="K571" s="76"/>
    </row>
    <row r="572" spans="1:11" ht="12.75">
      <c r="A572" s="76"/>
      <c r="B572" s="76"/>
      <c r="C572" s="77"/>
      <c r="D572" s="78"/>
      <c r="E572" s="78"/>
      <c r="F572" s="76"/>
      <c r="K572" s="76"/>
    </row>
    <row r="573" spans="1:11" ht="12.75">
      <c r="A573" s="76"/>
      <c r="B573" s="76"/>
      <c r="C573" s="77"/>
      <c r="D573" s="78"/>
      <c r="E573" s="78"/>
      <c r="F573" s="76"/>
      <c r="K573" s="76"/>
    </row>
    <row r="574" spans="1:11" ht="12.75">
      <c r="A574" s="76"/>
      <c r="B574" s="76"/>
      <c r="C574" s="77"/>
      <c r="D574" s="78"/>
      <c r="E574" s="78"/>
      <c r="F574" s="76"/>
      <c r="K574" s="76"/>
    </row>
    <row r="575" spans="1:11" ht="12.75">
      <c r="A575" s="76"/>
      <c r="B575" s="76"/>
      <c r="C575" s="77"/>
      <c r="D575" s="78"/>
      <c r="E575" s="78"/>
      <c r="F575" s="76"/>
      <c r="K575" s="76"/>
    </row>
    <row r="576" spans="1:11" ht="12.75">
      <c r="A576" s="76"/>
      <c r="B576" s="76"/>
      <c r="C576" s="77"/>
      <c r="D576" s="78"/>
      <c r="E576" s="78"/>
      <c r="F576" s="76"/>
      <c r="K576" s="76"/>
    </row>
    <row r="577" spans="1:11" ht="12.75">
      <c r="A577" s="76"/>
      <c r="B577" s="76"/>
      <c r="C577" s="77"/>
      <c r="D577" s="78"/>
      <c r="E577" s="78"/>
      <c r="F577" s="76"/>
      <c r="K577" s="76"/>
    </row>
    <row r="578" spans="1:11" ht="12.75">
      <c r="A578" s="76"/>
      <c r="B578" s="76"/>
      <c r="C578" s="77"/>
      <c r="D578" s="78"/>
      <c r="E578" s="78"/>
      <c r="F578" s="76"/>
      <c r="K578" s="76"/>
    </row>
    <row r="579" spans="1:11" ht="12.75">
      <c r="A579" s="76"/>
      <c r="B579" s="76"/>
      <c r="C579" s="77"/>
      <c r="D579" s="78"/>
      <c r="E579" s="78"/>
      <c r="F579" s="76"/>
      <c r="K579" s="76"/>
    </row>
    <row r="580" spans="1:11" ht="12.75">
      <c r="A580" s="76"/>
      <c r="B580" s="76"/>
      <c r="C580" s="77"/>
      <c r="D580" s="78"/>
      <c r="E580" s="78"/>
      <c r="F580" s="76"/>
      <c r="K580" s="76"/>
    </row>
    <row r="581" spans="1:11" ht="12.75">
      <c r="A581" s="76"/>
      <c r="B581" s="76"/>
      <c r="C581" s="77"/>
      <c r="D581" s="78"/>
      <c r="E581" s="78"/>
      <c r="F581" s="76"/>
      <c r="K581" s="76"/>
    </row>
    <row r="582" spans="1:11" ht="12.75">
      <c r="A582" s="76"/>
      <c r="B582" s="76"/>
      <c r="C582" s="77"/>
      <c r="D582" s="78"/>
      <c r="E582" s="78"/>
      <c r="F582" s="76"/>
      <c r="K582" s="76"/>
    </row>
    <row r="583" spans="1:11" ht="12.75">
      <c r="A583" s="76"/>
      <c r="B583" s="76"/>
      <c r="C583" s="77"/>
      <c r="D583" s="78"/>
      <c r="E583" s="78"/>
      <c r="F583" s="76"/>
      <c r="K583" s="76"/>
    </row>
    <row r="584" spans="1:11" ht="12.75">
      <c r="A584" s="76"/>
      <c r="B584" s="76"/>
      <c r="C584" s="77"/>
      <c r="D584" s="78"/>
      <c r="E584" s="78"/>
      <c r="F584" s="76"/>
      <c r="K584" s="76"/>
    </row>
    <row r="585" spans="1:11" ht="12.75">
      <c r="A585" s="76"/>
      <c r="B585" s="76"/>
      <c r="C585" s="77"/>
      <c r="D585" s="78"/>
      <c r="E585" s="78"/>
      <c r="F585" s="76"/>
      <c r="K585" s="76"/>
    </row>
    <row r="586" spans="1:11" ht="12.75">
      <c r="A586" s="76"/>
      <c r="B586" s="76"/>
      <c r="C586" s="77"/>
      <c r="D586" s="78"/>
      <c r="E586" s="78"/>
      <c r="F586" s="76"/>
      <c r="K586" s="76"/>
    </row>
    <row r="587" spans="1:11" ht="12.75">
      <c r="A587" s="76"/>
      <c r="B587" s="76"/>
      <c r="C587" s="77"/>
      <c r="D587" s="78"/>
      <c r="E587" s="78"/>
      <c r="F587" s="76"/>
      <c r="K587" s="76"/>
    </row>
    <row r="588" spans="1:11" ht="12.75">
      <c r="A588" s="76"/>
      <c r="B588" s="76"/>
      <c r="C588" s="77"/>
      <c r="D588" s="78"/>
      <c r="E588" s="78"/>
      <c r="F588" s="76"/>
      <c r="K588" s="76"/>
    </row>
    <row r="589" spans="1:11" ht="12.75">
      <c r="A589" s="76"/>
      <c r="B589" s="76"/>
      <c r="C589" s="77"/>
      <c r="D589" s="78"/>
      <c r="E589" s="78"/>
      <c r="F589" s="76"/>
      <c r="K589" s="76"/>
    </row>
    <row r="590" spans="1:11" ht="12.75">
      <c r="A590" s="76"/>
      <c r="B590" s="76"/>
      <c r="C590" s="77"/>
      <c r="D590" s="78"/>
      <c r="E590" s="78"/>
      <c r="F590" s="76"/>
      <c r="K590" s="76"/>
    </row>
    <row r="591" spans="1:11" ht="12.75">
      <c r="A591" s="76"/>
      <c r="B591" s="76"/>
      <c r="C591" s="77"/>
      <c r="D591" s="78"/>
      <c r="E591" s="78"/>
      <c r="F591" s="76"/>
      <c r="K591" s="76"/>
    </row>
    <row r="592" spans="1:11" ht="12.75">
      <c r="A592" s="76"/>
      <c r="B592" s="76"/>
      <c r="C592" s="77"/>
      <c r="D592" s="78"/>
      <c r="E592" s="78"/>
      <c r="F592" s="76"/>
      <c r="K592" s="76"/>
    </row>
    <row r="593" spans="1:11" ht="12.75">
      <c r="A593" s="76"/>
      <c r="B593" s="76"/>
      <c r="C593" s="77"/>
      <c r="D593" s="78"/>
      <c r="E593" s="78"/>
      <c r="F593" s="76"/>
      <c r="K593" s="76"/>
    </row>
    <row r="594" spans="1:11" ht="12.75">
      <c r="A594" s="76"/>
      <c r="B594" s="76"/>
      <c r="C594" s="77"/>
      <c r="D594" s="78"/>
      <c r="E594" s="78"/>
      <c r="F594" s="76"/>
      <c r="K594" s="76"/>
    </row>
    <row r="595" spans="1:11" ht="12.75">
      <c r="A595" s="76"/>
      <c r="B595" s="76"/>
      <c r="C595" s="77"/>
      <c r="D595" s="78"/>
      <c r="E595" s="78"/>
      <c r="F595" s="76"/>
      <c r="K595" s="76"/>
    </row>
    <row r="596" spans="1:11" ht="12.75">
      <c r="A596" s="76"/>
      <c r="B596" s="76"/>
      <c r="C596" s="77"/>
      <c r="D596" s="78"/>
      <c r="E596" s="78"/>
      <c r="F596" s="76"/>
      <c r="K596" s="76"/>
    </row>
    <row r="597" spans="1:11" ht="12.75">
      <c r="A597" s="76"/>
      <c r="B597" s="76"/>
      <c r="C597" s="77"/>
      <c r="D597" s="78"/>
      <c r="E597" s="78"/>
      <c r="F597" s="76"/>
      <c r="K597" s="76"/>
    </row>
    <row r="598" spans="1:11" ht="12.75">
      <c r="A598" s="76"/>
      <c r="B598" s="76"/>
      <c r="C598" s="77"/>
      <c r="D598" s="78"/>
      <c r="E598" s="78"/>
      <c r="F598" s="76"/>
      <c r="K598" s="76"/>
    </row>
    <row r="599" spans="1:11" ht="12.75">
      <c r="A599" s="76"/>
      <c r="B599" s="76"/>
      <c r="C599" s="77"/>
      <c r="D599" s="78"/>
      <c r="E599" s="78"/>
      <c r="F599" s="76"/>
      <c r="K599" s="76"/>
    </row>
    <row r="600" spans="1:11" ht="12.75">
      <c r="A600" s="76"/>
      <c r="B600" s="76"/>
      <c r="C600" s="77"/>
      <c r="D600" s="78"/>
      <c r="E600" s="78"/>
      <c r="F600" s="76"/>
      <c r="K600" s="76"/>
    </row>
    <row r="601" spans="1:11" ht="12.75">
      <c r="A601" s="76"/>
      <c r="B601" s="76"/>
      <c r="C601" s="77"/>
      <c r="D601" s="78"/>
      <c r="E601" s="78"/>
      <c r="F601" s="76"/>
      <c r="K601" s="76"/>
    </row>
    <row r="602" spans="1:11" ht="12.75">
      <c r="A602" s="76"/>
      <c r="B602" s="76"/>
      <c r="C602" s="77"/>
      <c r="D602" s="78"/>
      <c r="E602" s="78"/>
      <c r="F602" s="76"/>
      <c r="K602" s="76"/>
    </row>
    <row r="603" spans="1:11" ht="12.75">
      <c r="A603" s="76"/>
      <c r="B603" s="76"/>
      <c r="C603" s="77"/>
      <c r="D603" s="78"/>
      <c r="E603" s="78"/>
      <c r="F603" s="76"/>
      <c r="K603" s="76"/>
    </row>
    <row r="604" spans="1:11" ht="12.75">
      <c r="A604" s="76"/>
      <c r="B604" s="76"/>
      <c r="C604" s="77"/>
      <c r="D604" s="78"/>
      <c r="E604" s="78"/>
      <c r="F604" s="76"/>
      <c r="K604" s="76"/>
    </row>
    <row r="605" spans="1:11" ht="12.75">
      <c r="A605" s="76"/>
      <c r="B605" s="76"/>
      <c r="C605" s="77"/>
      <c r="D605" s="78"/>
      <c r="E605" s="78"/>
      <c r="F605" s="76"/>
      <c r="K605" s="76"/>
    </row>
    <row r="606" spans="1:11" ht="12.75">
      <c r="A606" s="76"/>
      <c r="B606" s="76"/>
      <c r="C606" s="77"/>
      <c r="D606" s="78"/>
      <c r="E606" s="78"/>
      <c r="F606" s="76"/>
      <c r="K606" s="76"/>
    </row>
    <row r="607" spans="1:11" ht="12.75">
      <c r="A607" s="76"/>
      <c r="B607" s="76"/>
      <c r="C607" s="77"/>
      <c r="D607" s="78"/>
      <c r="E607" s="78"/>
      <c r="F607" s="76"/>
      <c r="K607" s="76"/>
    </row>
    <row r="608" spans="1:11" ht="12.75">
      <c r="A608" s="76"/>
      <c r="B608" s="76"/>
      <c r="C608" s="77"/>
      <c r="D608" s="78"/>
      <c r="E608" s="78"/>
      <c r="F608" s="76"/>
      <c r="K608" s="76"/>
    </row>
    <row r="609" spans="1:11" ht="12.75">
      <c r="A609" s="76"/>
      <c r="B609" s="76"/>
      <c r="C609" s="77"/>
      <c r="D609" s="78"/>
      <c r="E609" s="78"/>
      <c r="F609" s="76"/>
      <c r="K609" s="76"/>
    </row>
    <row r="610" spans="1:11" ht="12.75">
      <c r="A610" s="76"/>
      <c r="B610" s="76"/>
      <c r="C610" s="77"/>
      <c r="D610" s="78"/>
      <c r="E610" s="78"/>
      <c r="F610" s="76"/>
      <c r="K610" s="76"/>
    </row>
    <row r="611" spans="1:11" ht="12.75">
      <c r="A611" s="76"/>
      <c r="B611" s="76"/>
      <c r="C611" s="77"/>
      <c r="D611" s="78"/>
      <c r="E611" s="78"/>
      <c r="F611" s="76"/>
      <c r="K611" s="76"/>
    </row>
    <row r="612" spans="1:11" ht="12.75">
      <c r="A612" s="76"/>
      <c r="B612" s="76"/>
      <c r="C612" s="77"/>
      <c r="D612" s="78"/>
      <c r="E612" s="78"/>
      <c r="F612" s="76"/>
      <c r="K612" s="76"/>
    </row>
    <row r="613" spans="1:11" ht="12.75">
      <c r="A613" s="76"/>
      <c r="B613" s="76"/>
      <c r="C613" s="77"/>
      <c r="D613" s="78"/>
      <c r="E613" s="78"/>
      <c r="F613" s="76"/>
      <c r="K613" s="76"/>
    </row>
    <row r="614" spans="1:11" ht="12.75">
      <c r="A614" s="76"/>
      <c r="B614" s="76"/>
      <c r="C614" s="77"/>
      <c r="D614" s="78"/>
      <c r="E614" s="78"/>
      <c r="F614" s="76"/>
      <c r="K614" s="76"/>
    </row>
    <row r="615" spans="1:11" ht="12.75">
      <c r="A615" s="76"/>
      <c r="B615" s="76"/>
      <c r="C615" s="77"/>
      <c r="D615" s="78"/>
      <c r="E615" s="78"/>
      <c r="F615" s="76"/>
      <c r="K615" s="76"/>
    </row>
    <row r="616" spans="1:11" ht="12.75">
      <c r="A616" s="76"/>
      <c r="B616" s="76"/>
      <c r="C616" s="77"/>
      <c r="D616" s="78"/>
      <c r="E616" s="78"/>
      <c r="F616" s="76"/>
      <c r="K616" s="76"/>
    </row>
    <row r="617" spans="1:11" ht="12.75">
      <c r="A617" s="76"/>
      <c r="B617" s="76"/>
      <c r="C617" s="77"/>
      <c r="D617" s="78"/>
      <c r="E617" s="78"/>
      <c r="F617" s="76"/>
      <c r="K617" s="76"/>
    </row>
    <row r="618" spans="1:11" ht="12.75">
      <c r="A618" s="76"/>
      <c r="B618" s="76"/>
      <c r="C618" s="77"/>
      <c r="D618" s="78"/>
      <c r="E618" s="78"/>
      <c r="F618" s="76"/>
      <c r="K618" s="76"/>
    </row>
    <row r="619" spans="1:11" ht="12.75">
      <c r="A619" s="76"/>
      <c r="B619" s="76"/>
      <c r="C619" s="77"/>
      <c r="D619" s="78"/>
      <c r="E619" s="78"/>
      <c r="F619" s="76"/>
      <c r="K619" s="76"/>
    </row>
    <row r="620" spans="1:11" ht="12.75">
      <c r="A620" s="76"/>
      <c r="B620" s="76"/>
      <c r="C620" s="77"/>
      <c r="D620" s="78"/>
      <c r="E620" s="78"/>
      <c r="F620" s="76"/>
      <c r="K620" s="76"/>
    </row>
    <row r="621" spans="1:11" ht="12.75">
      <c r="A621" s="76"/>
      <c r="B621" s="76"/>
      <c r="C621" s="77"/>
      <c r="D621" s="78"/>
      <c r="E621" s="78"/>
      <c r="F621" s="76"/>
      <c r="K621" s="76"/>
    </row>
    <row r="622" spans="1:11" ht="12.75">
      <c r="A622" s="76"/>
      <c r="B622" s="76"/>
      <c r="C622" s="77"/>
      <c r="D622" s="78"/>
      <c r="E622" s="78"/>
      <c r="F622" s="76"/>
      <c r="K622" s="76"/>
    </row>
    <row r="623" spans="1:11" ht="12.75">
      <c r="A623" s="76"/>
      <c r="B623" s="76"/>
      <c r="C623" s="77"/>
      <c r="D623" s="78"/>
      <c r="E623" s="78"/>
      <c r="F623" s="76"/>
      <c r="K623" s="76"/>
    </row>
    <row r="624" spans="1:11" ht="12.75">
      <c r="A624" s="76"/>
      <c r="B624" s="76"/>
      <c r="C624" s="77"/>
      <c r="D624" s="78"/>
      <c r="E624" s="78"/>
      <c r="F624" s="76"/>
      <c r="K624" s="76"/>
    </row>
    <row r="625" spans="1:11" ht="12.75">
      <c r="A625" s="76"/>
      <c r="B625" s="76"/>
      <c r="C625" s="77"/>
      <c r="D625" s="78"/>
      <c r="E625" s="78"/>
      <c r="F625" s="76"/>
      <c r="K625" s="76"/>
    </row>
    <row r="626" spans="1:11" ht="12.75">
      <c r="A626" s="76"/>
      <c r="B626" s="76"/>
      <c r="C626" s="77"/>
      <c r="D626" s="78"/>
      <c r="E626" s="78"/>
      <c r="F626" s="76"/>
      <c r="K626" s="76"/>
    </row>
    <row r="627" spans="1:11" ht="12.75">
      <c r="A627" s="76"/>
      <c r="B627" s="76"/>
      <c r="C627" s="77"/>
      <c r="D627" s="78"/>
      <c r="E627" s="78"/>
      <c r="F627" s="76"/>
      <c r="K627" s="76"/>
    </row>
    <row r="628" spans="1:11" ht="12.75">
      <c r="A628" s="76"/>
      <c r="B628" s="76"/>
      <c r="C628" s="77"/>
      <c r="D628" s="78"/>
      <c r="E628" s="78"/>
      <c r="F628" s="76"/>
      <c r="K628" s="76"/>
    </row>
    <row r="629" spans="1:11" ht="12.75">
      <c r="A629" s="76"/>
      <c r="B629" s="76"/>
      <c r="C629" s="77"/>
      <c r="D629" s="78"/>
      <c r="E629" s="78"/>
      <c r="F629" s="76"/>
      <c r="K629" s="76"/>
    </row>
    <row r="630" spans="1:11" ht="12.75">
      <c r="A630" s="76"/>
      <c r="B630" s="76"/>
      <c r="C630" s="77"/>
      <c r="D630" s="78"/>
      <c r="E630" s="78"/>
      <c r="F630" s="76"/>
      <c r="K630" s="76"/>
    </row>
    <row r="631" spans="1:11" ht="12.75">
      <c r="A631" s="76"/>
      <c r="B631" s="76"/>
      <c r="C631" s="77"/>
      <c r="D631" s="78"/>
      <c r="E631" s="78"/>
      <c r="F631" s="76"/>
      <c r="K631" s="76"/>
    </row>
    <row r="632" spans="1:11" ht="12.75">
      <c r="A632" s="76"/>
      <c r="B632" s="76"/>
      <c r="C632" s="77"/>
      <c r="D632" s="78"/>
      <c r="E632" s="78"/>
      <c r="F632" s="76"/>
      <c r="K632" s="76"/>
    </row>
    <row r="633" spans="1:11" ht="12.75">
      <c r="A633" s="76"/>
      <c r="B633" s="76"/>
      <c r="C633" s="77"/>
      <c r="D633" s="78"/>
      <c r="E633" s="78"/>
      <c r="F633" s="76"/>
      <c r="K633" s="76"/>
    </row>
    <row r="634" spans="1:11" ht="12.75">
      <c r="A634" s="76"/>
      <c r="B634" s="76"/>
      <c r="C634" s="77"/>
      <c r="D634" s="78"/>
      <c r="E634" s="78"/>
      <c r="F634" s="76"/>
      <c r="K634" s="76"/>
    </row>
    <row r="635" spans="1:11" ht="12.75">
      <c r="A635" s="76"/>
      <c r="B635" s="76"/>
      <c r="C635" s="77"/>
      <c r="D635" s="78"/>
      <c r="E635" s="78"/>
      <c r="F635" s="76"/>
      <c r="K635" s="76"/>
    </row>
    <row r="636" spans="1:11" ht="12.75">
      <c r="A636" s="76"/>
      <c r="B636" s="76"/>
      <c r="C636" s="77"/>
      <c r="D636" s="78"/>
      <c r="E636" s="78"/>
      <c r="F636" s="76"/>
      <c r="K636" s="76"/>
    </row>
    <row r="637" spans="1:11" ht="12.75">
      <c r="A637" s="76"/>
      <c r="B637" s="76"/>
      <c r="C637" s="77"/>
      <c r="D637" s="78"/>
      <c r="E637" s="78"/>
      <c r="F637" s="76"/>
      <c r="K637" s="76"/>
    </row>
    <row r="638" spans="1:11" ht="12.75">
      <c r="A638" s="76"/>
      <c r="B638" s="76"/>
      <c r="C638" s="77"/>
      <c r="D638" s="78"/>
      <c r="E638" s="78"/>
      <c r="F638" s="76"/>
      <c r="K638" s="76"/>
    </row>
    <row r="639" spans="1:11" ht="12.75">
      <c r="A639" s="76"/>
      <c r="B639" s="76"/>
      <c r="C639" s="77"/>
      <c r="D639" s="78"/>
      <c r="E639" s="78"/>
      <c r="F639" s="76"/>
      <c r="K639" s="76"/>
    </row>
    <row r="640" spans="1:11" ht="12.75">
      <c r="A640" s="76"/>
      <c r="B640" s="76"/>
      <c r="C640" s="77"/>
      <c r="D640" s="78"/>
      <c r="E640" s="78"/>
      <c r="F640" s="76"/>
      <c r="K640" s="76"/>
    </row>
    <row r="641" spans="1:11" ht="12.75">
      <c r="A641" s="76"/>
      <c r="B641" s="76"/>
      <c r="C641" s="77"/>
      <c r="D641" s="78"/>
      <c r="E641" s="78"/>
      <c r="F641" s="76"/>
      <c r="K641" s="76"/>
    </row>
    <row r="642" spans="1:11" ht="12.75">
      <c r="A642" s="76"/>
      <c r="B642" s="76"/>
      <c r="C642" s="77"/>
      <c r="D642" s="78"/>
      <c r="E642" s="78"/>
      <c r="F642" s="76"/>
      <c r="K642" s="76"/>
    </row>
    <row r="643" spans="1:11" ht="12.75">
      <c r="A643" s="76"/>
      <c r="B643" s="76"/>
      <c r="C643" s="77"/>
      <c r="D643" s="78"/>
      <c r="E643" s="78"/>
      <c r="F643" s="76"/>
      <c r="K643" s="76"/>
    </row>
    <row r="644" spans="1:11" ht="12.75">
      <c r="A644" s="76"/>
      <c r="B644" s="76"/>
      <c r="C644" s="77"/>
      <c r="D644" s="78"/>
      <c r="E644" s="78"/>
      <c r="F644" s="76"/>
      <c r="K644" s="76"/>
    </row>
    <row r="645" spans="1:11" ht="12.75">
      <c r="A645" s="76"/>
      <c r="B645" s="76"/>
      <c r="C645" s="77"/>
      <c r="D645" s="78"/>
      <c r="E645" s="78"/>
      <c r="F645" s="76"/>
      <c r="K645" s="76"/>
    </row>
    <row r="646" spans="1:11" ht="12.75">
      <c r="A646" s="76"/>
      <c r="B646" s="76"/>
      <c r="C646" s="77"/>
      <c r="D646" s="78"/>
      <c r="E646" s="78"/>
      <c r="F646" s="76"/>
      <c r="K646" s="76"/>
    </row>
    <row r="647" spans="1:11" ht="12.75">
      <c r="A647" s="76"/>
      <c r="B647" s="76"/>
      <c r="C647" s="77"/>
      <c r="D647" s="78"/>
      <c r="E647" s="78"/>
      <c r="F647" s="76"/>
      <c r="K647" s="76"/>
    </row>
    <row r="648" spans="1:11" ht="12.75">
      <c r="A648" s="76"/>
      <c r="B648" s="76"/>
      <c r="C648" s="77"/>
      <c r="D648" s="78"/>
      <c r="E648" s="78"/>
      <c r="F648" s="76"/>
      <c r="K648" s="76"/>
    </row>
    <row r="649" spans="1:11" ht="12.75">
      <c r="A649" s="76"/>
      <c r="B649" s="76"/>
      <c r="C649" s="77"/>
      <c r="D649" s="78"/>
      <c r="E649" s="78"/>
      <c r="F649" s="76"/>
      <c r="K649" s="76"/>
    </row>
    <row r="650" spans="1:11" ht="12.75">
      <c r="A650" s="76"/>
      <c r="B650" s="76"/>
      <c r="C650" s="77"/>
      <c r="D650" s="78"/>
      <c r="E650" s="78"/>
      <c r="F650" s="76"/>
      <c r="K650" s="76"/>
    </row>
    <row r="651" spans="1:11" ht="12.75">
      <c r="A651" s="76"/>
      <c r="B651" s="76"/>
      <c r="C651" s="77"/>
      <c r="D651" s="78"/>
      <c r="E651" s="78"/>
      <c r="F651" s="76"/>
      <c r="K651" s="76"/>
    </row>
    <row r="652" spans="1:11" ht="12.75">
      <c r="A652" s="76"/>
      <c r="B652" s="76"/>
      <c r="C652" s="77"/>
      <c r="D652" s="78"/>
      <c r="E652" s="78"/>
      <c r="F652" s="76"/>
      <c r="K652" s="76"/>
    </row>
    <row r="653" spans="1:11" ht="12.75">
      <c r="A653" s="76"/>
      <c r="B653" s="76"/>
      <c r="C653" s="77"/>
      <c r="D653" s="78"/>
      <c r="E653" s="78"/>
      <c r="F653" s="76"/>
      <c r="K653" s="76"/>
    </row>
    <row r="654" spans="1:11" ht="12.75">
      <c r="A654" s="76"/>
      <c r="B654" s="76"/>
      <c r="C654" s="77"/>
      <c r="D654" s="78"/>
      <c r="E654" s="78"/>
      <c r="F654" s="76"/>
      <c r="K654" s="76"/>
    </row>
    <row r="655" spans="1:11" ht="12.75">
      <c r="A655" s="76"/>
      <c r="B655" s="76"/>
      <c r="C655" s="77"/>
      <c r="D655" s="78"/>
      <c r="E655" s="78"/>
      <c r="F655" s="76"/>
      <c r="K655" s="76"/>
    </row>
    <row r="656" spans="1:11" ht="12.75">
      <c r="A656" s="76"/>
      <c r="B656" s="76"/>
      <c r="C656" s="77"/>
      <c r="D656" s="78"/>
      <c r="E656" s="78"/>
      <c r="F656" s="76"/>
      <c r="K656" s="76"/>
    </row>
    <row r="657" spans="1:11" ht="12.75">
      <c r="A657" s="76"/>
      <c r="B657" s="76"/>
      <c r="C657" s="77"/>
      <c r="D657" s="78"/>
      <c r="E657" s="78"/>
      <c r="F657" s="76"/>
      <c r="K657" s="76"/>
    </row>
    <row r="658" spans="1:11" ht="12.75">
      <c r="A658" s="76"/>
      <c r="B658" s="76"/>
      <c r="C658" s="77"/>
      <c r="D658" s="78"/>
      <c r="E658" s="78"/>
      <c r="F658" s="76"/>
      <c r="K658" s="76"/>
    </row>
    <row r="659" spans="1:11" ht="12.75">
      <c r="A659" s="76"/>
      <c r="B659" s="76"/>
      <c r="C659" s="77"/>
      <c r="D659" s="78"/>
      <c r="E659" s="78"/>
      <c r="F659" s="76"/>
      <c r="K659" s="76"/>
    </row>
    <row r="660" spans="1:11" ht="12.75">
      <c r="A660" s="76"/>
      <c r="B660" s="76"/>
      <c r="C660" s="77"/>
      <c r="D660" s="78"/>
      <c r="E660" s="78"/>
      <c r="F660" s="76"/>
      <c r="K660" s="76"/>
    </row>
    <row r="661" spans="1:11" ht="12.75">
      <c r="A661" s="76"/>
      <c r="B661" s="76"/>
      <c r="C661" s="77"/>
      <c r="D661" s="78"/>
      <c r="E661" s="78"/>
      <c r="F661" s="76"/>
      <c r="K661" s="76"/>
    </row>
    <row r="662" spans="1:11" ht="12.75">
      <c r="A662" s="76"/>
      <c r="B662" s="76"/>
      <c r="C662" s="77"/>
      <c r="D662" s="78"/>
      <c r="E662" s="78"/>
      <c r="F662" s="76"/>
      <c r="K662" s="76"/>
    </row>
    <row r="663" spans="1:11" ht="12.75">
      <c r="A663" s="76"/>
      <c r="B663" s="76"/>
      <c r="C663" s="77"/>
      <c r="D663" s="78"/>
      <c r="E663" s="78"/>
      <c r="F663" s="76"/>
      <c r="K663" s="76"/>
    </row>
    <row r="664" spans="1:11" ht="12.75">
      <c r="A664" s="76"/>
      <c r="B664" s="76"/>
      <c r="C664" s="77"/>
      <c r="D664" s="78"/>
      <c r="E664" s="78"/>
      <c r="F664" s="76"/>
      <c r="K664" s="76"/>
    </row>
    <row r="665" spans="1:11" ht="12.75">
      <c r="A665" s="76"/>
      <c r="B665" s="76"/>
      <c r="C665" s="77"/>
      <c r="D665" s="78"/>
      <c r="E665" s="78"/>
      <c r="F665" s="76"/>
      <c r="K665" s="76"/>
    </row>
    <row r="666" spans="1:11" ht="12.75">
      <c r="A666" s="76"/>
      <c r="B666" s="76"/>
      <c r="C666" s="77"/>
      <c r="D666" s="78"/>
      <c r="E666" s="78"/>
      <c r="F666" s="76"/>
      <c r="K666" s="76"/>
    </row>
    <row r="667" spans="1:11" ht="12.75">
      <c r="A667" s="76"/>
      <c r="B667" s="76"/>
      <c r="C667" s="77"/>
      <c r="D667" s="78"/>
      <c r="E667" s="78"/>
      <c r="F667" s="76"/>
      <c r="K667" s="76"/>
    </row>
    <row r="668" spans="1:11" ht="12.75">
      <c r="A668" s="76"/>
      <c r="B668" s="76"/>
      <c r="C668" s="77"/>
      <c r="D668" s="78"/>
      <c r="E668" s="78"/>
      <c r="F668" s="76"/>
      <c r="K668" s="76"/>
    </row>
    <row r="669" spans="1:11" ht="12.75">
      <c r="A669" s="76"/>
      <c r="B669" s="76"/>
      <c r="C669" s="77"/>
      <c r="D669" s="78"/>
      <c r="E669" s="78"/>
      <c r="F669" s="76"/>
      <c r="K669" s="76"/>
    </row>
    <row r="670" spans="1:11" ht="12.75">
      <c r="A670" s="76"/>
      <c r="B670" s="76"/>
      <c r="C670" s="77"/>
      <c r="D670" s="78"/>
      <c r="E670" s="78"/>
      <c r="F670" s="76"/>
      <c r="K670" s="76"/>
    </row>
    <row r="671" spans="1:11" ht="12.75">
      <c r="A671" s="76"/>
      <c r="B671" s="76"/>
      <c r="C671" s="77"/>
      <c r="D671" s="78"/>
      <c r="E671" s="78"/>
      <c r="F671" s="76"/>
      <c r="K671" s="76"/>
    </row>
    <row r="672" spans="1:11" ht="12.75">
      <c r="A672" s="76"/>
      <c r="B672" s="76"/>
      <c r="C672" s="77"/>
      <c r="D672" s="78"/>
      <c r="E672" s="78"/>
      <c r="F672" s="76"/>
      <c r="K672" s="76"/>
    </row>
    <row r="673" spans="1:11" ht="12.75">
      <c r="A673" s="76"/>
      <c r="B673" s="76"/>
      <c r="C673" s="77"/>
      <c r="D673" s="78"/>
      <c r="E673" s="78"/>
      <c r="F673" s="76"/>
      <c r="K673" s="76"/>
    </row>
    <row r="674" spans="1:11" ht="12.75">
      <c r="A674" s="76"/>
      <c r="B674" s="76"/>
      <c r="C674" s="77"/>
      <c r="D674" s="78"/>
      <c r="E674" s="78"/>
      <c r="F674" s="76"/>
      <c r="K674" s="76"/>
    </row>
    <row r="675" spans="1:11" ht="12.75">
      <c r="A675" s="76"/>
      <c r="B675" s="76"/>
      <c r="C675" s="77"/>
      <c r="D675" s="78"/>
      <c r="E675" s="78"/>
      <c r="F675" s="76"/>
      <c r="K675" s="76"/>
    </row>
    <row r="676" spans="1:11" ht="12.75">
      <c r="A676" s="76"/>
      <c r="B676" s="76"/>
      <c r="C676" s="77"/>
      <c r="D676" s="78"/>
      <c r="E676" s="78"/>
      <c r="F676" s="76"/>
      <c r="K676" s="76"/>
    </row>
    <row r="677" spans="1:11" ht="12.75">
      <c r="A677" s="76"/>
      <c r="B677" s="76"/>
      <c r="C677" s="77"/>
      <c r="D677" s="78"/>
      <c r="E677" s="78"/>
      <c r="F677" s="76"/>
      <c r="K677" s="76"/>
    </row>
    <row r="678" spans="1:11" ht="12.75">
      <c r="A678" s="76"/>
      <c r="B678" s="76"/>
      <c r="C678" s="77"/>
      <c r="D678" s="78"/>
      <c r="E678" s="78"/>
      <c r="F678" s="76"/>
      <c r="K678" s="76"/>
    </row>
    <row r="679" spans="1:11" ht="12.75">
      <c r="A679" s="76"/>
      <c r="B679" s="76"/>
      <c r="C679" s="77"/>
      <c r="D679" s="78"/>
      <c r="E679" s="78"/>
      <c r="F679" s="76"/>
      <c r="K679" s="76"/>
    </row>
    <row r="680" spans="1:11" ht="12.75">
      <c r="A680" s="76"/>
      <c r="B680" s="76"/>
      <c r="C680" s="77"/>
      <c r="D680" s="78"/>
      <c r="E680" s="78"/>
      <c r="F680" s="76"/>
      <c r="K680" s="76"/>
    </row>
    <row r="681" spans="1:11" ht="12.75">
      <c r="A681" s="76"/>
      <c r="B681" s="76"/>
      <c r="C681" s="77"/>
      <c r="D681" s="78"/>
      <c r="E681" s="78"/>
      <c r="F681" s="76"/>
      <c r="K681" s="76"/>
    </row>
    <row r="682" spans="1:11" ht="12.75">
      <c r="A682" s="76"/>
      <c r="B682" s="76"/>
      <c r="C682" s="77"/>
      <c r="D682" s="78"/>
      <c r="E682" s="78"/>
      <c r="F682" s="76"/>
      <c r="K682" s="76"/>
    </row>
    <row r="683" spans="1:11" ht="12.75">
      <c r="A683" s="76"/>
      <c r="B683" s="76"/>
      <c r="C683" s="77"/>
      <c r="D683" s="78"/>
      <c r="E683" s="78"/>
      <c r="F683" s="76"/>
      <c r="K683" s="76"/>
    </row>
    <row r="684" spans="1:11" ht="12.75">
      <c r="A684" s="76"/>
      <c r="B684" s="76"/>
      <c r="C684" s="77"/>
      <c r="D684" s="78"/>
      <c r="E684" s="78"/>
      <c r="F684" s="76"/>
      <c r="K684" s="76"/>
    </row>
    <row r="685" spans="1:11" ht="12.75">
      <c r="A685" s="76"/>
      <c r="B685" s="76"/>
      <c r="C685" s="77"/>
      <c r="D685" s="78"/>
      <c r="E685" s="78"/>
      <c r="F685" s="76"/>
      <c r="K685" s="76"/>
    </row>
    <row r="686" spans="1:11" ht="12.75">
      <c r="A686" s="76"/>
      <c r="B686" s="76"/>
      <c r="C686" s="77"/>
      <c r="D686" s="78"/>
      <c r="E686" s="78"/>
      <c r="F686" s="76"/>
      <c r="K686" s="76"/>
    </row>
    <row r="687" spans="1:11" ht="12.75">
      <c r="A687" s="76"/>
      <c r="B687" s="76"/>
      <c r="C687" s="77"/>
      <c r="D687" s="78"/>
      <c r="E687" s="78"/>
      <c r="F687" s="76"/>
      <c r="K687" s="76"/>
    </row>
    <row r="688" spans="1:11" ht="12.75">
      <c r="A688" s="76"/>
      <c r="B688" s="76"/>
      <c r="C688" s="77"/>
      <c r="D688" s="78"/>
      <c r="E688" s="78"/>
      <c r="F688" s="76"/>
      <c r="K688" s="76"/>
    </row>
    <row r="689" spans="1:11" ht="12.75">
      <c r="A689" s="76"/>
      <c r="B689" s="76"/>
      <c r="C689" s="77"/>
      <c r="D689" s="78"/>
      <c r="E689" s="78"/>
      <c r="F689" s="76"/>
      <c r="K689" s="76"/>
    </row>
    <row r="690" spans="1:11" ht="12.75">
      <c r="A690" s="76"/>
      <c r="B690" s="76"/>
      <c r="C690" s="77"/>
      <c r="D690" s="78"/>
      <c r="E690" s="78"/>
      <c r="F690" s="76"/>
      <c r="K690" s="76"/>
    </row>
    <row r="691" spans="1:11" ht="12.75">
      <c r="A691" s="76"/>
      <c r="B691" s="76"/>
      <c r="C691" s="77"/>
      <c r="D691" s="78"/>
      <c r="E691" s="78"/>
      <c r="F691" s="76"/>
      <c r="K691" s="76"/>
    </row>
    <row r="692" spans="1:11" ht="12.75">
      <c r="A692" s="76"/>
      <c r="B692" s="76"/>
      <c r="C692" s="77"/>
      <c r="D692" s="78"/>
      <c r="E692" s="78"/>
      <c r="F692" s="76"/>
      <c r="K692" s="76"/>
    </row>
    <row r="693" spans="1:11" ht="12.75">
      <c r="A693" s="76"/>
      <c r="B693" s="76"/>
      <c r="C693" s="77"/>
      <c r="D693" s="78"/>
      <c r="E693" s="78"/>
      <c r="F693" s="76"/>
      <c r="K693" s="76"/>
    </row>
    <row r="694" spans="1:11" ht="12.75">
      <c r="A694" s="76"/>
      <c r="B694" s="76"/>
      <c r="C694" s="77"/>
      <c r="D694" s="78"/>
      <c r="E694" s="78"/>
      <c r="F694" s="76"/>
      <c r="K694" s="76"/>
    </row>
    <row r="695" spans="1:11" ht="12.75">
      <c r="A695" s="76"/>
      <c r="B695" s="76"/>
      <c r="C695" s="77"/>
      <c r="D695" s="78"/>
      <c r="E695" s="78"/>
      <c r="F695" s="76"/>
      <c r="K695" s="76"/>
    </row>
    <row r="696" spans="1:11" ht="12.75">
      <c r="A696" s="76"/>
      <c r="B696" s="76"/>
      <c r="C696" s="77"/>
      <c r="D696" s="78"/>
      <c r="E696" s="78"/>
      <c r="F696" s="76"/>
      <c r="K696" s="76"/>
    </row>
    <row r="697" spans="1:11" ht="12.75">
      <c r="A697" s="76"/>
      <c r="B697" s="76"/>
      <c r="C697" s="77"/>
      <c r="D697" s="78"/>
      <c r="E697" s="78"/>
      <c r="F697" s="76"/>
      <c r="K697" s="76"/>
    </row>
    <row r="698" spans="1:11" ht="12.75">
      <c r="A698" s="76"/>
      <c r="B698" s="76"/>
      <c r="C698" s="77"/>
      <c r="D698" s="78"/>
      <c r="E698" s="78"/>
      <c r="F698" s="76"/>
      <c r="K698" s="76"/>
    </row>
    <row r="699" spans="1:11" ht="12.75">
      <c r="A699" s="76"/>
      <c r="B699" s="76"/>
      <c r="C699" s="77"/>
      <c r="D699" s="78"/>
      <c r="E699" s="78"/>
      <c r="F699" s="76"/>
      <c r="K699" s="76"/>
    </row>
    <row r="700" spans="1:11" ht="12.75">
      <c r="A700" s="76"/>
      <c r="B700" s="76"/>
      <c r="C700" s="77"/>
      <c r="D700" s="78"/>
      <c r="E700" s="78"/>
      <c r="F700" s="76"/>
      <c r="K700" s="76"/>
    </row>
    <row r="701" spans="1:11" ht="12.75">
      <c r="A701" s="76"/>
      <c r="B701" s="76"/>
      <c r="C701" s="77"/>
      <c r="D701" s="78"/>
      <c r="E701" s="78"/>
      <c r="F701" s="76"/>
      <c r="K701" s="76"/>
    </row>
    <row r="702" spans="1:11" ht="12.75">
      <c r="A702" s="76"/>
      <c r="B702" s="76"/>
      <c r="C702" s="77"/>
      <c r="D702" s="78"/>
      <c r="E702" s="78"/>
      <c r="F702" s="76"/>
      <c r="K702" s="76"/>
    </row>
    <row r="703" spans="1:11" ht="12.75">
      <c r="A703" s="76"/>
      <c r="B703" s="76"/>
      <c r="C703" s="77"/>
      <c r="D703" s="78"/>
      <c r="E703" s="78"/>
      <c r="F703" s="76"/>
      <c r="K703" s="76"/>
    </row>
    <row r="704" spans="1:11" ht="12.75">
      <c r="A704" s="76"/>
      <c r="B704" s="76"/>
      <c r="C704" s="77"/>
      <c r="D704" s="78"/>
      <c r="E704" s="78"/>
      <c r="F704" s="76"/>
      <c r="K704" s="76"/>
    </row>
    <row r="705" spans="1:11" ht="12.75">
      <c r="A705" s="76"/>
      <c r="B705" s="76"/>
      <c r="C705" s="77"/>
      <c r="D705" s="78"/>
      <c r="E705" s="78"/>
      <c r="F705" s="76"/>
      <c r="K705" s="76"/>
    </row>
    <row r="706" spans="1:11" ht="12.75">
      <c r="A706" s="76"/>
      <c r="B706" s="76"/>
      <c r="C706" s="77"/>
      <c r="D706" s="78"/>
      <c r="E706" s="78"/>
      <c r="F706" s="76"/>
      <c r="K706" s="76"/>
    </row>
    <row r="707" spans="1:11" ht="12.75">
      <c r="A707" s="76"/>
      <c r="B707" s="76"/>
      <c r="C707" s="77"/>
      <c r="D707" s="78"/>
      <c r="E707" s="78"/>
      <c r="F707" s="76"/>
      <c r="K707" s="76"/>
    </row>
    <row r="708" spans="1:11" ht="12.75">
      <c r="A708" s="76"/>
      <c r="B708" s="76"/>
      <c r="C708" s="77"/>
      <c r="D708" s="78"/>
      <c r="E708" s="78"/>
      <c r="F708" s="76"/>
      <c r="K708" s="76"/>
    </row>
    <row r="709" spans="1:11" ht="12.75">
      <c r="A709" s="76"/>
      <c r="B709" s="76"/>
      <c r="C709" s="77"/>
      <c r="D709" s="78"/>
      <c r="E709" s="78"/>
      <c r="F709" s="76"/>
      <c r="K709" s="76"/>
    </row>
    <row r="710" spans="1:11" ht="12.75">
      <c r="A710" s="76"/>
      <c r="B710" s="76"/>
      <c r="C710" s="77"/>
      <c r="D710" s="78"/>
      <c r="E710" s="78"/>
      <c r="F710" s="76"/>
      <c r="K710" s="76"/>
    </row>
    <row r="711" spans="1:11" ht="12.75">
      <c r="A711" s="76"/>
      <c r="B711" s="76"/>
      <c r="C711" s="77"/>
      <c r="D711" s="78"/>
      <c r="E711" s="78"/>
      <c r="F711" s="76"/>
      <c r="K711" s="76"/>
    </row>
    <row r="712" spans="1:11" ht="12.75">
      <c r="A712" s="76"/>
      <c r="B712" s="76"/>
      <c r="C712" s="77"/>
      <c r="D712" s="78"/>
      <c r="E712" s="78"/>
      <c r="F712" s="76"/>
      <c r="K712" s="76"/>
    </row>
    <row r="713" spans="1:11" ht="12.75">
      <c r="A713" s="76"/>
      <c r="B713" s="76"/>
      <c r="C713" s="77"/>
      <c r="D713" s="78"/>
      <c r="E713" s="78"/>
      <c r="F713" s="76"/>
      <c r="K713" s="76"/>
    </row>
    <row r="714" spans="1:11" ht="12.75">
      <c r="A714" s="76"/>
      <c r="B714" s="76"/>
      <c r="C714" s="77"/>
      <c r="D714" s="78"/>
      <c r="E714" s="78"/>
      <c r="F714" s="76"/>
      <c r="K714" s="76"/>
    </row>
    <row r="715" spans="1:11" ht="12.75">
      <c r="A715" s="76"/>
      <c r="B715" s="76"/>
      <c r="C715" s="77"/>
      <c r="D715" s="78"/>
      <c r="E715" s="78"/>
      <c r="F715" s="76"/>
      <c r="K715" s="76"/>
    </row>
    <row r="716" spans="1:11" ht="12.75">
      <c r="A716" s="76"/>
      <c r="B716" s="76"/>
      <c r="C716" s="77"/>
      <c r="D716" s="78"/>
      <c r="E716" s="78"/>
      <c r="F716" s="76"/>
      <c r="K716" s="76"/>
    </row>
    <row r="717" spans="1:11" ht="12.75">
      <c r="A717" s="76"/>
      <c r="B717" s="76"/>
      <c r="C717" s="77"/>
      <c r="D717" s="78"/>
      <c r="E717" s="78"/>
      <c r="F717" s="76"/>
      <c r="K717" s="76"/>
    </row>
    <row r="718" spans="1:11" ht="12.75">
      <c r="A718" s="76"/>
      <c r="B718" s="76"/>
      <c r="C718" s="77"/>
      <c r="D718" s="78"/>
      <c r="E718" s="78"/>
      <c r="F718" s="76"/>
      <c r="K718" s="76"/>
    </row>
    <row r="719" spans="1:11" ht="12.75">
      <c r="A719" s="76"/>
      <c r="B719" s="76"/>
      <c r="C719" s="77"/>
      <c r="D719" s="78"/>
      <c r="E719" s="78"/>
      <c r="F719" s="76"/>
      <c r="K719" s="76"/>
    </row>
    <row r="720" spans="1:11" ht="12.75">
      <c r="A720" s="76"/>
      <c r="B720" s="76"/>
      <c r="C720" s="77"/>
      <c r="D720" s="78"/>
      <c r="E720" s="78"/>
      <c r="F720" s="76"/>
      <c r="K720" s="76"/>
    </row>
    <row r="721" spans="1:11" ht="12.75">
      <c r="A721" s="76"/>
      <c r="B721" s="76"/>
      <c r="C721" s="77"/>
      <c r="D721" s="78"/>
      <c r="E721" s="78"/>
      <c r="F721" s="76"/>
      <c r="K721" s="76"/>
    </row>
    <row r="722" spans="1:11" ht="12.75">
      <c r="A722" s="76"/>
      <c r="B722" s="76"/>
      <c r="C722" s="77"/>
      <c r="D722" s="78"/>
      <c r="E722" s="78"/>
      <c r="F722" s="76"/>
      <c r="K722" s="76"/>
    </row>
    <row r="723" spans="1:11" ht="12.75">
      <c r="A723" s="76"/>
      <c r="B723" s="76"/>
      <c r="C723" s="77"/>
      <c r="D723" s="78"/>
      <c r="E723" s="78"/>
      <c r="F723" s="76"/>
      <c r="K723" s="76"/>
    </row>
    <row r="724" spans="1:11" ht="12.75">
      <c r="A724" s="76"/>
      <c r="B724" s="76"/>
      <c r="C724" s="77"/>
      <c r="D724" s="78"/>
      <c r="E724" s="78"/>
      <c r="F724" s="76"/>
      <c r="K724" s="76"/>
    </row>
    <row r="725" spans="1:11" ht="12.75">
      <c r="A725" s="76"/>
      <c r="B725" s="76"/>
      <c r="C725" s="77"/>
      <c r="D725" s="78"/>
      <c r="E725" s="78"/>
      <c r="F725" s="76"/>
      <c r="K725" s="76"/>
    </row>
    <row r="726" spans="1:11" ht="12.75">
      <c r="A726" s="76"/>
      <c r="B726" s="76"/>
      <c r="C726" s="77"/>
      <c r="D726" s="78"/>
      <c r="E726" s="78"/>
      <c r="F726" s="76"/>
      <c r="K726" s="76"/>
    </row>
    <row r="727" spans="1:11" ht="12.75">
      <c r="A727" s="76"/>
      <c r="B727" s="76"/>
      <c r="C727" s="77"/>
      <c r="D727" s="78"/>
      <c r="E727" s="78"/>
      <c r="F727" s="76"/>
      <c r="K727" s="76"/>
    </row>
    <row r="728" spans="1:11" ht="12.75">
      <c r="A728" s="76"/>
      <c r="B728" s="76"/>
      <c r="C728" s="77"/>
      <c r="D728" s="78"/>
      <c r="E728" s="78"/>
      <c r="F728" s="76"/>
      <c r="K728" s="76"/>
    </row>
    <row r="729" spans="1:11" ht="12.75">
      <c r="A729" s="76"/>
      <c r="B729" s="76"/>
      <c r="C729" s="77"/>
      <c r="D729" s="78"/>
      <c r="E729" s="78"/>
      <c r="F729" s="76"/>
      <c r="K729" s="76"/>
    </row>
    <row r="730" spans="1:11" ht="12.75">
      <c r="A730" s="76"/>
      <c r="B730" s="76"/>
      <c r="C730" s="77"/>
      <c r="D730" s="78"/>
      <c r="E730" s="78"/>
      <c r="F730" s="76"/>
      <c r="K730" s="76"/>
    </row>
    <row r="731" spans="1:11" ht="12.75">
      <c r="A731" s="76"/>
      <c r="B731" s="76"/>
      <c r="C731" s="77"/>
      <c r="D731" s="78"/>
      <c r="E731" s="78"/>
      <c r="F731" s="76"/>
      <c r="K731" s="76"/>
    </row>
    <row r="732" spans="1:11" ht="12.75">
      <c r="A732" s="76"/>
      <c r="B732" s="76"/>
      <c r="C732" s="77"/>
      <c r="D732" s="78"/>
      <c r="E732" s="78"/>
      <c r="F732" s="76"/>
      <c r="K732" s="76"/>
    </row>
    <row r="733" spans="1:11" ht="12.75">
      <c r="A733" s="76"/>
      <c r="B733" s="76"/>
      <c r="C733" s="77"/>
      <c r="D733" s="78"/>
      <c r="E733" s="78"/>
      <c r="F733" s="76"/>
      <c r="K733" s="76"/>
    </row>
    <row r="734" spans="1:11" ht="12.75">
      <c r="A734" s="76"/>
      <c r="B734" s="76"/>
      <c r="C734" s="77"/>
      <c r="D734" s="78"/>
      <c r="E734" s="78"/>
      <c r="F734" s="76"/>
      <c r="K734" s="76"/>
    </row>
    <row r="735" spans="1:11" ht="12.75">
      <c r="A735" s="76"/>
      <c r="B735" s="76"/>
      <c r="C735" s="77"/>
      <c r="D735" s="78"/>
      <c r="E735" s="78"/>
      <c r="F735" s="76"/>
      <c r="K735" s="76"/>
    </row>
    <row r="736" spans="1:11" ht="12.75">
      <c r="A736" s="76"/>
      <c r="B736" s="76"/>
      <c r="C736" s="77"/>
      <c r="D736" s="78"/>
      <c r="E736" s="78"/>
      <c r="F736" s="76"/>
      <c r="K736" s="76"/>
    </row>
    <row r="737" spans="1:11" ht="12.75">
      <c r="A737" s="76"/>
      <c r="B737" s="76"/>
      <c r="C737" s="77"/>
      <c r="D737" s="78"/>
      <c r="E737" s="78"/>
      <c r="F737" s="76"/>
      <c r="K737" s="76"/>
    </row>
    <row r="738" spans="1:11" ht="12.75">
      <c r="A738" s="76"/>
      <c r="B738" s="76"/>
      <c r="C738" s="77"/>
      <c r="D738" s="78"/>
      <c r="E738" s="78"/>
      <c r="F738" s="76"/>
      <c r="K738" s="76"/>
    </row>
    <row r="739" spans="1:11" ht="12.75">
      <c r="A739" s="76"/>
      <c r="B739" s="76"/>
      <c r="C739" s="77"/>
      <c r="D739" s="78"/>
      <c r="E739" s="78"/>
      <c r="F739" s="76"/>
      <c r="K739" s="76"/>
    </row>
    <row r="740" spans="1:11" ht="12.75">
      <c r="A740" s="76"/>
      <c r="B740" s="76"/>
      <c r="C740" s="77"/>
      <c r="D740" s="78"/>
      <c r="E740" s="78"/>
      <c r="F740" s="76"/>
      <c r="K740" s="76"/>
    </row>
    <row r="741" spans="1:11" ht="12.75">
      <c r="A741" s="76"/>
      <c r="B741" s="76"/>
      <c r="C741" s="77"/>
      <c r="D741" s="78"/>
      <c r="E741" s="78"/>
      <c r="F741" s="76"/>
      <c r="K741" s="76"/>
    </row>
    <row r="742" spans="1:11" ht="12.75">
      <c r="A742" s="76"/>
      <c r="B742" s="76"/>
      <c r="C742" s="77"/>
      <c r="D742" s="78"/>
      <c r="E742" s="78"/>
      <c r="F742" s="76"/>
      <c r="K742" s="76"/>
    </row>
    <row r="743" spans="1:11" ht="12.75">
      <c r="A743" s="76"/>
      <c r="B743" s="76"/>
      <c r="C743" s="77"/>
      <c r="D743" s="78"/>
      <c r="E743" s="78"/>
      <c r="F743" s="76"/>
      <c r="K743" s="76"/>
    </row>
    <row r="744" spans="1:11" ht="12.75">
      <c r="A744" s="76"/>
      <c r="B744" s="76"/>
      <c r="C744" s="77"/>
      <c r="D744" s="78"/>
      <c r="E744" s="78"/>
      <c r="F744" s="76"/>
      <c r="K744" s="76"/>
    </row>
    <row r="745" spans="1:11" ht="12.75">
      <c r="A745" s="76"/>
      <c r="B745" s="76"/>
      <c r="C745" s="77"/>
      <c r="D745" s="78"/>
      <c r="E745" s="78"/>
      <c r="F745" s="76"/>
      <c r="K745" s="76"/>
    </row>
    <row r="746" spans="1:11" ht="12.75">
      <c r="A746" s="76"/>
      <c r="B746" s="76"/>
      <c r="C746" s="77"/>
      <c r="D746" s="78"/>
      <c r="E746" s="78"/>
      <c r="F746" s="76"/>
      <c r="K746" s="76"/>
    </row>
    <row r="747" spans="1:11" ht="12.75">
      <c r="A747" s="76"/>
      <c r="B747" s="76"/>
      <c r="C747" s="77"/>
      <c r="D747" s="78"/>
      <c r="E747" s="78"/>
      <c r="F747" s="76"/>
      <c r="K747" s="76"/>
    </row>
    <row r="748" spans="1:11" ht="12.75">
      <c r="A748" s="76"/>
      <c r="B748" s="76"/>
      <c r="C748" s="77"/>
      <c r="D748" s="78"/>
      <c r="E748" s="78"/>
      <c r="F748" s="76"/>
      <c r="K748" s="76"/>
    </row>
    <row r="749" spans="1:11" ht="12.75">
      <c r="A749" s="76"/>
      <c r="B749" s="76"/>
      <c r="C749" s="77"/>
      <c r="D749" s="78"/>
      <c r="E749" s="78"/>
      <c r="F749" s="76"/>
      <c r="K749" s="76"/>
    </row>
    <row r="750" spans="1:11" ht="12.75">
      <c r="A750" s="76"/>
      <c r="B750" s="76"/>
      <c r="C750" s="77"/>
      <c r="D750" s="78"/>
      <c r="E750" s="78"/>
      <c r="F750" s="76"/>
      <c r="K750" s="76"/>
    </row>
    <row r="751" spans="1:11" ht="12.75">
      <c r="A751" s="76"/>
      <c r="B751" s="76"/>
      <c r="C751" s="77"/>
      <c r="D751" s="78"/>
      <c r="E751" s="78"/>
      <c r="F751" s="76"/>
      <c r="K751" s="76"/>
    </row>
    <row r="752" spans="1:11" ht="12.75">
      <c r="A752" s="76"/>
      <c r="B752" s="76"/>
      <c r="C752" s="77"/>
      <c r="D752" s="78"/>
      <c r="E752" s="78"/>
      <c r="F752" s="76"/>
      <c r="K752" s="76"/>
    </row>
    <row r="753" spans="1:11" ht="12.75">
      <c r="A753" s="76"/>
      <c r="B753" s="76"/>
      <c r="C753" s="77"/>
      <c r="D753" s="78"/>
      <c r="E753" s="78"/>
      <c r="F753" s="76"/>
      <c r="K753" s="76"/>
    </row>
    <row r="754" spans="1:11" ht="12.75">
      <c r="A754" s="76"/>
      <c r="B754" s="76"/>
      <c r="C754" s="77"/>
      <c r="D754" s="78"/>
      <c r="E754" s="78"/>
      <c r="F754" s="76"/>
      <c r="K754" s="76"/>
    </row>
    <row r="755" spans="1:11" ht="12.75">
      <c r="A755" s="76"/>
      <c r="B755" s="76"/>
      <c r="C755" s="77"/>
      <c r="D755" s="78"/>
      <c r="E755" s="78"/>
      <c r="F755" s="76"/>
      <c r="K755" s="76"/>
    </row>
    <row r="756" spans="1:11" ht="12.75">
      <c r="A756" s="76"/>
      <c r="B756" s="76"/>
      <c r="C756" s="77"/>
      <c r="D756" s="78"/>
      <c r="E756" s="78"/>
      <c r="F756" s="76"/>
      <c r="K756" s="76"/>
    </row>
    <row r="757" spans="1:11" ht="12.75">
      <c r="A757" s="76"/>
      <c r="B757" s="76"/>
      <c r="C757" s="77"/>
      <c r="D757" s="78"/>
      <c r="E757" s="78"/>
      <c r="F757" s="76"/>
      <c r="K757" s="76"/>
    </row>
    <row r="758" spans="1:11" ht="12.75">
      <c r="A758" s="76"/>
      <c r="B758" s="76"/>
      <c r="C758" s="77"/>
      <c r="D758" s="78"/>
      <c r="E758" s="78"/>
      <c r="F758" s="76"/>
      <c r="K758" s="76"/>
    </row>
    <row r="759" spans="1:11" ht="12.75">
      <c r="A759" s="76"/>
      <c r="B759" s="76"/>
      <c r="C759" s="77"/>
      <c r="D759" s="78"/>
      <c r="E759" s="78"/>
      <c r="F759" s="76"/>
      <c r="K759" s="76"/>
    </row>
    <row r="760" spans="1:11" ht="12.75">
      <c r="A760" s="76"/>
      <c r="B760" s="76"/>
      <c r="C760" s="77"/>
      <c r="D760" s="78"/>
      <c r="E760" s="78"/>
      <c r="F760" s="76"/>
      <c r="K760" s="76"/>
    </row>
    <row r="761" spans="1:11" ht="12.75">
      <c r="A761" s="76"/>
      <c r="B761" s="76"/>
      <c r="C761" s="77"/>
      <c r="D761" s="78"/>
      <c r="E761" s="78"/>
      <c r="F761" s="76"/>
      <c r="K761" s="76"/>
    </row>
    <row r="762" spans="1:11" ht="12.75">
      <c r="A762" s="76"/>
      <c r="B762" s="76"/>
      <c r="C762" s="77"/>
      <c r="D762" s="78"/>
      <c r="E762" s="78"/>
      <c r="F762" s="76"/>
      <c r="K762" s="76"/>
    </row>
    <row r="763" spans="1:11" ht="12.75">
      <c r="A763" s="76"/>
      <c r="B763" s="76"/>
      <c r="C763" s="77"/>
      <c r="D763" s="78"/>
      <c r="E763" s="78"/>
      <c r="F763" s="76"/>
      <c r="K763" s="76"/>
    </row>
    <row r="764" spans="1:11" ht="12.75">
      <c r="A764" s="76"/>
      <c r="B764" s="76"/>
      <c r="C764" s="77"/>
      <c r="D764" s="78"/>
      <c r="E764" s="78"/>
      <c r="F764" s="76"/>
      <c r="K764" s="76"/>
    </row>
    <row r="765" spans="1:11" ht="12.75">
      <c r="A765" s="76"/>
      <c r="B765" s="76"/>
      <c r="C765" s="77"/>
      <c r="D765" s="78"/>
      <c r="E765" s="78"/>
      <c r="F765" s="76"/>
      <c r="K765" s="76"/>
    </row>
    <row r="766" spans="1:11" ht="12.75">
      <c r="A766" s="76"/>
      <c r="B766" s="76"/>
      <c r="C766" s="77"/>
      <c r="D766" s="78"/>
      <c r="E766" s="78"/>
      <c r="F766" s="76"/>
      <c r="K766" s="76"/>
    </row>
    <row r="767" spans="1:11" ht="12.75">
      <c r="A767" s="76"/>
      <c r="B767" s="76"/>
      <c r="C767" s="77"/>
      <c r="D767" s="78"/>
      <c r="E767" s="78"/>
      <c r="F767" s="76"/>
      <c r="K767" s="76"/>
    </row>
    <row r="768" spans="1:11" ht="12.75">
      <c r="A768" s="76"/>
      <c r="B768" s="76"/>
      <c r="C768" s="77"/>
      <c r="D768" s="78"/>
      <c r="E768" s="78"/>
      <c r="F768" s="76"/>
      <c r="K768" s="76"/>
    </row>
    <row r="769" spans="1:11" ht="12.75">
      <c r="A769" s="76"/>
      <c r="B769" s="76"/>
      <c r="C769" s="77"/>
      <c r="D769" s="78"/>
      <c r="E769" s="78"/>
      <c r="F769" s="76"/>
      <c r="K769" s="76"/>
    </row>
    <row r="770" spans="1:11" ht="12.75">
      <c r="A770" s="76"/>
      <c r="B770" s="76"/>
      <c r="C770" s="77"/>
      <c r="D770" s="78"/>
      <c r="E770" s="78"/>
      <c r="F770" s="76"/>
      <c r="K770" s="76"/>
    </row>
    <row r="771" spans="1:11" ht="12.75">
      <c r="A771" s="76"/>
      <c r="B771" s="76"/>
      <c r="C771" s="77"/>
      <c r="D771" s="78"/>
      <c r="E771" s="78"/>
      <c r="F771" s="76"/>
      <c r="K771" s="76"/>
    </row>
    <row r="772" spans="1:11" ht="12.75">
      <c r="A772" s="76"/>
      <c r="B772" s="76"/>
      <c r="C772" s="77"/>
      <c r="D772" s="78"/>
      <c r="E772" s="78"/>
      <c r="F772" s="76"/>
      <c r="K772" s="76"/>
    </row>
    <row r="773" spans="1:11" ht="12.75">
      <c r="A773" s="76"/>
      <c r="B773" s="76"/>
      <c r="C773" s="77"/>
      <c r="D773" s="78"/>
      <c r="E773" s="78"/>
      <c r="F773" s="76"/>
      <c r="K773" s="76"/>
    </row>
    <row r="774" spans="1:11" ht="12.75">
      <c r="A774" s="76"/>
      <c r="B774" s="76"/>
      <c r="C774" s="77"/>
      <c r="D774" s="78"/>
      <c r="E774" s="78"/>
      <c r="F774" s="76"/>
      <c r="K774" s="76"/>
    </row>
    <row r="775" spans="1:11" ht="12.75">
      <c r="A775" s="76"/>
      <c r="B775" s="76"/>
      <c r="C775" s="77"/>
      <c r="D775" s="78"/>
      <c r="E775" s="78"/>
      <c r="F775" s="76"/>
      <c r="K775" s="76"/>
    </row>
    <row r="776" spans="1:11" ht="12.75">
      <c r="A776" s="76"/>
      <c r="B776" s="76"/>
      <c r="C776" s="77"/>
      <c r="D776" s="78"/>
      <c r="E776" s="78"/>
      <c r="F776" s="76"/>
      <c r="K776" s="76"/>
    </row>
    <row r="777" spans="1:11" ht="12.75">
      <c r="A777" s="76"/>
      <c r="B777" s="76"/>
      <c r="C777" s="77"/>
      <c r="D777" s="78"/>
      <c r="E777" s="78"/>
      <c r="F777" s="76"/>
      <c r="K777" s="76"/>
    </row>
    <row r="778" spans="1:11" ht="12.75">
      <c r="A778" s="76"/>
      <c r="B778" s="76"/>
      <c r="C778" s="77"/>
      <c r="D778" s="78"/>
      <c r="E778" s="78"/>
      <c r="F778" s="76"/>
      <c r="K778" s="76"/>
    </row>
    <row r="779" spans="1:11" ht="12.75">
      <c r="A779" s="76"/>
      <c r="B779" s="76"/>
      <c r="C779" s="77"/>
      <c r="D779" s="78"/>
      <c r="E779" s="78"/>
      <c r="F779" s="76"/>
      <c r="K779" s="76"/>
    </row>
    <row r="780" spans="1:11" ht="12.75">
      <c r="A780" s="76"/>
      <c r="B780" s="76"/>
      <c r="C780" s="77"/>
      <c r="D780" s="78"/>
      <c r="E780" s="78"/>
      <c r="F780" s="76"/>
      <c r="K780" s="76"/>
    </row>
    <row r="781" spans="1:11" ht="12.75">
      <c r="A781" s="76"/>
      <c r="B781" s="76"/>
      <c r="C781" s="77"/>
      <c r="D781" s="78"/>
      <c r="E781" s="78"/>
      <c r="F781" s="76"/>
      <c r="K781" s="76"/>
    </row>
    <row r="782" spans="1:11" ht="12.75">
      <c r="A782" s="76"/>
      <c r="B782" s="76"/>
      <c r="C782" s="77"/>
      <c r="D782" s="78"/>
      <c r="E782" s="78"/>
      <c r="F782" s="76"/>
      <c r="K782" s="76"/>
    </row>
    <row r="783" spans="1:11" ht="12.75">
      <c r="A783" s="76"/>
      <c r="B783" s="76"/>
      <c r="C783" s="77"/>
      <c r="D783" s="78"/>
      <c r="E783" s="78"/>
      <c r="F783" s="76"/>
      <c r="K783" s="76"/>
    </row>
    <row r="784" spans="1:11" ht="12.75">
      <c r="A784" s="76"/>
      <c r="B784" s="76"/>
      <c r="C784" s="77"/>
      <c r="D784" s="78"/>
      <c r="E784" s="78"/>
      <c r="F784" s="76"/>
      <c r="K784" s="76"/>
    </row>
    <row r="785" spans="1:11" ht="12.75">
      <c r="A785" s="76"/>
      <c r="B785" s="76"/>
      <c r="C785" s="77"/>
      <c r="D785" s="78"/>
      <c r="E785" s="78"/>
      <c r="F785" s="76"/>
      <c r="K785" s="76"/>
    </row>
    <row r="786" spans="1:11" ht="12.75">
      <c r="A786" s="76"/>
      <c r="B786" s="76"/>
      <c r="C786" s="77"/>
      <c r="D786" s="78"/>
      <c r="E786" s="78"/>
      <c r="F786" s="76"/>
      <c r="K786" s="76"/>
    </row>
    <row r="787" spans="1:11" ht="12.75">
      <c r="A787" s="76"/>
      <c r="B787" s="76"/>
      <c r="C787" s="77"/>
      <c r="D787" s="78"/>
      <c r="E787" s="78"/>
      <c r="F787" s="76"/>
      <c r="K787" s="76"/>
    </row>
    <row r="788" spans="1:11" ht="12.75">
      <c r="A788" s="76"/>
      <c r="B788" s="76"/>
      <c r="C788" s="77"/>
      <c r="D788" s="78"/>
      <c r="E788" s="78"/>
      <c r="F788" s="76"/>
      <c r="K788" s="76"/>
    </row>
    <row r="789" spans="1:11" ht="12.75">
      <c r="A789" s="76"/>
      <c r="B789" s="76"/>
      <c r="C789" s="77"/>
      <c r="D789" s="78"/>
      <c r="E789" s="78"/>
      <c r="F789" s="76"/>
      <c r="K789" s="76"/>
    </row>
    <row r="790" spans="1:11" ht="12.75">
      <c r="A790" s="76"/>
      <c r="B790" s="76"/>
      <c r="C790" s="77"/>
      <c r="D790" s="78"/>
      <c r="E790" s="78"/>
      <c r="F790" s="76"/>
      <c r="K790" s="76"/>
    </row>
    <row r="791" spans="1:11" ht="12.75">
      <c r="A791" s="76"/>
      <c r="B791" s="76"/>
      <c r="C791" s="77"/>
      <c r="D791" s="78"/>
      <c r="E791" s="78"/>
      <c r="F791" s="76"/>
      <c r="K791" s="76"/>
    </row>
    <row r="792" spans="1:11" ht="12.75">
      <c r="A792" s="76"/>
      <c r="B792" s="76"/>
      <c r="C792" s="77"/>
      <c r="D792" s="78"/>
      <c r="E792" s="78"/>
      <c r="F792" s="76"/>
      <c r="K792" s="76"/>
    </row>
    <row r="793" spans="1:11" ht="12.75">
      <c r="A793" s="76"/>
      <c r="B793" s="76"/>
      <c r="C793" s="77"/>
      <c r="D793" s="78"/>
      <c r="E793" s="78"/>
      <c r="F793" s="76"/>
      <c r="K793" s="76"/>
    </row>
    <row r="794" spans="1:11" ht="12.75">
      <c r="A794" s="76"/>
      <c r="B794" s="76"/>
      <c r="C794" s="77"/>
      <c r="D794" s="78"/>
      <c r="E794" s="78"/>
      <c r="F794" s="76"/>
      <c r="K794" s="76"/>
    </row>
    <row r="795" spans="1:11" ht="12.75">
      <c r="A795" s="76"/>
      <c r="B795" s="76"/>
      <c r="C795" s="77"/>
      <c r="D795" s="78"/>
      <c r="E795" s="78"/>
      <c r="F795" s="76"/>
      <c r="K795" s="76"/>
    </row>
    <row r="796" spans="1:11" ht="12.75">
      <c r="A796" s="76"/>
      <c r="B796" s="76"/>
      <c r="C796" s="77"/>
      <c r="D796" s="78"/>
      <c r="E796" s="78"/>
      <c r="F796" s="76"/>
      <c r="K796" s="76"/>
    </row>
    <row r="797" spans="1:11" ht="12.75">
      <c r="A797" s="76"/>
      <c r="B797" s="76"/>
      <c r="C797" s="77"/>
      <c r="D797" s="78"/>
      <c r="E797" s="78"/>
      <c r="F797" s="76"/>
      <c r="K797" s="76"/>
    </row>
    <row r="798" spans="1:11" ht="12.75">
      <c r="A798" s="76"/>
      <c r="B798" s="76"/>
      <c r="C798" s="77"/>
      <c r="D798" s="78"/>
      <c r="E798" s="78"/>
      <c r="F798" s="76"/>
      <c r="K798" s="76"/>
    </row>
    <row r="799" spans="1:11" ht="12.75">
      <c r="A799" s="76"/>
      <c r="B799" s="76"/>
      <c r="C799" s="77"/>
      <c r="D799" s="78"/>
      <c r="E799" s="78"/>
      <c r="F799" s="76"/>
      <c r="K799" s="76"/>
    </row>
    <row r="800" spans="1:11" ht="12.75">
      <c r="A800" s="76"/>
      <c r="B800" s="76"/>
      <c r="C800" s="77"/>
      <c r="D800" s="78"/>
      <c r="E800" s="78"/>
      <c r="F800" s="76"/>
      <c r="K800" s="76"/>
    </row>
    <row r="801" spans="1:11" ht="12.75">
      <c r="A801" s="76"/>
      <c r="B801" s="76"/>
      <c r="C801" s="77"/>
      <c r="D801" s="78"/>
      <c r="E801" s="78"/>
      <c r="F801" s="76"/>
      <c r="K801" s="76"/>
    </row>
    <row r="802" spans="1:11" ht="12.75">
      <c r="A802" s="76"/>
      <c r="B802" s="76"/>
      <c r="C802" s="77"/>
      <c r="D802" s="78"/>
      <c r="E802" s="78"/>
      <c r="F802" s="76"/>
      <c r="K802" s="76"/>
    </row>
    <row r="803" spans="1:11" ht="12.75">
      <c r="A803" s="76"/>
      <c r="B803" s="76"/>
      <c r="C803" s="77"/>
      <c r="D803" s="78"/>
      <c r="E803" s="78"/>
      <c r="F803" s="76"/>
      <c r="K803" s="76"/>
    </row>
    <row r="804" spans="1:11" ht="12.75">
      <c r="A804" s="76"/>
      <c r="B804" s="76"/>
      <c r="C804" s="77"/>
      <c r="D804" s="78"/>
      <c r="E804" s="78"/>
      <c r="F804" s="76"/>
      <c r="K804" s="76"/>
    </row>
    <row r="805" spans="1:11" ht="12.75">
      <c r="A805" s="76"/>
      <c r="B805" s="76"/>
      <c r="C805" s="77"/>
      <c r="D805" s="78"/>
      <c r="E805" s="78"/>
      <c r="F805" s="76"/>
      <c r="K805" s="76"/>
    </row>
    <row r="806" spans="1:11" ht="12.75">
      <c r="A806" s="76"/>
      <c r="B806" s="76"/>
      <c r="C806" s="77"/>
      <c r="D806" s="78"/>
      <c r="E806" s="78"/>
      <c r="F806" s="76"/>
      <c r="K806" s="76"/>
    </row>
    <row r="807" spans="1:11" ht="12.75">
      <c r="A807" s="76"/>
      <c r="B807" s="76"/>
      <c r="C807" s="77"/>
      <c r="D807" s="78"/>
      <c r="E807" s="78"/>
      <c r="F807" s="76"/>
      <c r="K807" s="76"/>
    </row>
    <row r="808" spans="1:11" ht="12.75">
      <c r="A808" s="76"/>
      <c r="B808" s="76"/>
      <c r="C808" s="77"/>
      <c r="D808" s="78"/>
      <c r="E808" s="78"/>
      <c r="F808" s="76"/>
      <c r="K808" s="76"/>
    </row>
    <row r="809" spans="1:11" ht="12.75">
      <c r="A809" s="76"/>
      <c r="B809" s="76"/>
      <c r="C809" s="77"/>
      <c r="D809" s="78"/>
      <c r="E809" s="78"/>
      <c r="F809" s="76"/>
      <c r="K809" s="76"/>
    </row>
    <row r="810" spans="1:11" ht="12.75">
      <c r="A810" s="76"/>
      <c r="B810" s="76"/>
      <c r="C810" s="77"/>
      <c r="D810" s="78"/>
      <c r="E810" s="78"/>
      <c r="F810" s="76"/>
      <c r="K810" s="76"/>
    </row>
    <row r="811" spans="1:11" ht="12.75">
      <c r="A811" s="76"/>
      <c r="B811" s="76"/>
      <c r="C811" s="77"/>
      <c r="D811" s="78"/>
      <c r="E811" s="78"/>
      <c r="F811" s="76"/>
      <c r="K811" s="76"/>
    </row>
    <row r="812" spans="1:11" ht="12.75">
      <c r="A812" s="76"/>
      <c r="B812" s="76"/>
      <c r="C812" s="77"/>
      <c r="D812" s="78"/>
      <c r="E812" s="78"/>
      <c r="F812" s="76"/>
      <c r="K812" s="76"/>
    </row>
    <row r="813" spans="1:11" ht="12.75">
      <c r="A813" s="76"/>
      <c r="B813" s="76"/>
      <c r="C813" s="77"/>
      <c r="D813" s="78"/>
      <c r="E813" s="78"/>
      <c r="F813" s="76"/>
      <c r="K813" s="76"/>
    </row>
    <row r="814" spans="1:11" ht="12.75">
      <c r="A814" s="76"/>
      <c r="B814" s="76"/>
      <c r="C814" s="77"/>
      <c r="D814" s="78"/>
      <c r="E814" s="78"/>
      <c r="F814" s="76"/>
      <c r="K814" s="76"/>
    </row>
    <row r="815" spans="1:11" ht="12.75">
      <c r="A815" s="76"/>
      <c r="B815" s="76"/>
      <c r="C815" s="77"/>
      <c r="D815" s="78"/>
      <c r="E815" s="78"/>
      <c r="F815" s="76"/>
      <c r="K815" s="76"/>
    </row>
    <row r="816" spans="1:11" ht="12.75">
      <c r="A816" s="76"/>
      <c r="B816" s="76"/>
      <c r="C816" s="77"/>
      <c r="D816" s="78"/>
      <c r="E816" s="78"/>
      <c r="F816" s="76"/>
      <c r="K816" s="76"/>
    </row>
    <row r="817" spans="1:11" ht="12.75">
      <c r="A817" s="76"/>
      <c r="B817" s="76"/>
      <c r="C817" s="77"/>
      <c r="D817" s="78"/>
      <c r="E817" s="78"/>
      <c r="F817" s="76"/>
      <c r="K817" s="76"/>
    </row>
    <row r="818" spans="1:11" ht="12.75">
      <c r="A818" s="76"/>
      <c r="B818" s="76"/>
      <c r="C818" s="77"/>
      <c r="D818" s="78"/>
      <c r="E818" s="78"/>
      <c r="F818" s="76"/>
      <c r="K818" s="76"/>
    </row>
    <row r="819" spans="1:11" ht="12.75">
      <c r="A819" s="76"/>
      <c r="B819" s="76"/>
      <c r="C819" s="77"/>
      <c r="D819" s="78"/>
      <c r="E819" s="78"/>
      <c r="F819" s="76"/>
      <c r="K819" s="76"/>
    </row>
    <row r="820" spans="1:11" ht="12.75">
      <c r="A820" s="76"/>
      <c r="B820" s="76"/>
      <c r="C820" s="77"/>
      <c r="D820" s="78"/>
      <c r="E820" s="78"/>
      <c r="F820" s="76"/>
      <c r="K820" s="76"/>
    </row>
    <row r="821" spans="1:11" ht="12.75">
      <c r="A821" s="76"/>
      <c r="B821" s="76"/>
      <c r="C821" s="77"/>
      <c r="D821" s="78"/>
      <c r="E821" s="78"/>
      <c r="F821" s="76"/>
      <c r="K821" s="76"/>
    </row>
    <row r="822" spans="1:11" ht="12.75">
      <c r="A822" s="76"/>
      <c r="B822" s="76"/>
      <c r="C822" s="77"/>
      <c r="D822" s="78"/>
      <c r="E822" s="78"/>
      <c r="F822" s="76"/>
      <c r="K822" s="76"/>
    </row>
    <row r="823" spans="1:11" ht="12.75">
      <c r="A823" s="76"/>
      <c r="B823" s="76"/>
      <c r="C823" s="77"/>
      <c r="D823" s="78"/>
      <c r="E823" s="78"/>
      <c r="F823" s="76"/>
      <c r="K823" s="76"/>
    </row>
    <row r="824" spans="1:11" ht="12.75">
      <c r="A824" s="76"/>
      <c r="B824" s="76"/>
      <c r="C824" s="77"/>
      <c r="D824" s="78"/>
      <c r="E824" s="78"/>
      <c r="F824" s="76"/>
      <c r="K824" s="76"/>
    </row>
    <row r="825" spans="1:11" ht="12.75">
      <c r="A825" s="76"/>
      <c r="B825" s="76"/>
      <c r="C825" s="77"/>
      <c r="D825" s="78"/>
      <c r="E825" s="78"/>
      <c r="F825" s="76"/>
      <c r="K825" s="76"/>
    </row>
    <row r="826" spans="1:11" ht="12.75">
      <c r="A826" s="76"/>
      <c r="B826" s="76"/>
      <c r="C826" s="77"/>
      <c r="D826" s="78"/>
      <c r="E826" s="78"/>
      <c r="F826" s="76"/>
      <c r="K826" s="76"/>
    </row>
    <row r="827" spans="1:11" ht="12.75">
      <c r="A827" s="76"/>
      <c r="B827" s="76"/>
      <c r="C827" s="77"/>
      <c r="D827" s="78"/>
      <c r="E827" s="78"/>
      <c r="F827" s="76"/>
      <c r="K827" s="76"/>
    </row>
    <row r="828" spans="1:11" ht="12.75">
      <c r="A828" s="76"/>
      <c r="B828" s="76"/>
      <c r="C828" s="77"/>
      <c r="D828" s="78"/>
      <c r="E828" s="78"/>
      <c r="F828" s="76"/>
      <c r="K828" s="76"/>
    </row>
    <row r="829" spans="1:11" ht="12.75">
      <c r="A829" s="76"/>
      <c r="B829" s="76"/>
      <c r="C829" s="77"/>
      <c r="D829" s="78"/>
      <c r="E829" s="78"/>
      <c r="F829" s="76"/>
      <c r="K829" s="76"/>
    </row>
    <row r="830" spans="1:11" ht="12.75">
      <c r="A830" s="76"/>
      <c r="B830" s="76"/>
      <c r="C830" s="77"/>
      <c r="D830" s="78"/>
      <c r="E830" s="78"/>
      <c r="F830" s="76"/>
      <c r="K830" s="76"/>
    </row>
    <row r="831" spans="1:11" ht="12.75">
      <c r="A831" s="76"/>
      <c r="B831" s="76"/>
      <c r="C831" s="77"/>
      <c r="D831" s="78"/>
      <c r="E831" s="78"/>
      <c r="F831" s="76"/>
      <c r="K831" s="76"/>
    </row>
    <row r="832" spans="1:11" ht="12.75">
      <c r="A832" s="76"/>
      <c r="B832" s="76"/>
      <c r="C832" s="77"/>
      <c r="D832" s="78"/>
      <c r="E832" s="78"/>
      <c r="F832" s="76"/>
      <c r="K832" s="76"/>
    </row>
    <row r="833" spans="1:11" ht="12.75">
      <c r="A833" s="76"/>
      <c r="B833" s="76"/>
      <c r="C833" s="77"/>
      <c r="D833" s="78"/>
      <c r="E833" s="78"/>
      <c r="F833" s="76"/>
      <c r="K833" s="76"/>
    </row>
    <row r="834" spans="1:11" ht="12.75">
      <c r="A834" s="76"/>
      <c r="B834" s="76"/>
      <c r="C834" s="77"/>
      <c r="D834" s="78"/>
      <c r="E834" s="78"/>
      <c r="F834" s="76"/>
      <c r="K834" s="76"/>
    </row>
    <row r="835" spans="1:11" ht="12.75">
      <c r="A835" s="76"/>
      <c r="B835" s="76"/>
      <c r="C835" s="77"/>
      <c r="D835" s="78"/>
      <c r="E835" s="78"/>
      <c r="F835" s="76"/>
      <c r="K835" s="76"/>
    </row>
    <row r="836" spans="1:11" ht="12.75">
      <c r="A836" s="76"/>
      <c r="B836" s="76"/>
      <c r="C836" s="77"/>
      <c r="D836" s="78"/>
      <c r="E836" s="78"/>
      <c r="F836" s="76"/>
      <c r="K836" s="76"/>
    </row>
    <row r="837" spans="1:11" ht="12.75">
      <c r="A837" s="76"/>
      <c r="B837" s="76"/>
      <c r="C837" s="77"/>
      <c r="D837" s="78"/>
      <c r="E837" s="78"/>
      <c r="F837" s="76"/>
      <c r="K837" s="76"/>
    </row>
    <row r="838" spans="1:11" ht="12.75">
      <c r="A838" s="76"/>
      <c r="B838" s="76"/>
      <c r="C838" s="77"/>
      <c r="D838" s="78"/>
      <c r="E838" s="78"/>
      <c r="F838" s="76"/>
      <c r="K838" s="76"/>
    </row>
    <row r="839" spans="1:11" ht="12.75">
      <c r="A839" s="76"/>
      <c r="B839" s="76"/>
      <c r="C839" s="77"/>
      <c r="D839" s="78"/>
      <c r="E839" s="78"/>
      <c r="F839" s="76"/>
      <c r="K839" s="76"/>
    </row>
    <row r="840" spans="1:11" ht="12.75">
      <c r="A840" s="76"/>
      <c r="B840" s="76"/>
      <c r="C840" s="77"/>
      <c r="D840" s="78"/>
      <c r="E840" s="78"/>
      <c r="F840" s="76"/>
      <c r="K840" s="76"/>
    </row>
    <row r="841" spans="1:11" ht="12.75">
      <c r="A841" s="76"/>
      <c r="B841" s="76"/>
      <c r="C841" s="77"/>
      <c r="D841" s="78"/>
      <c r="E841" s="78"/>
      <c r="F841" s="76"/>
      <c r="K841" s="76"/>
    </row>
    <row r="842" spans="1:11" ht="12.75">
      <c r="A842" s="76"/>
      <c r="B842" s="76"/>
      <c r="C842" s="77"/>
      <c r="D842" s="78"/>
      <c r="E842" s="78"/>
      <c r="F842" s="76"/>
      <c r="K842" s="76"/>
    </row>
    <row r="843" spans="1:11" ht="12.75">
      <c r="A843" s="76"/>
      <c r="B843" s="76"/>
      <c r="C843" s="77"/>
      <c r="D843" s="78"/>
      <c r="E843" s="78"/>
      <c r="F843" s="76"/>
      <c r="K843" s="76"/>
    </row>
    <row r="844" spans="1:11" ht="12.75">
      <c r="A844" s="76"/>
      <c r="B844" s="76"/>
      <c r="C844" s="77"/>
      <c r="D844" s="78"/>
      <c r="E844" s="78"/>
      <c r="F844" s="76"/>
      <c r="K844" s="76"/>
    </row>
    <row r="845" spans="1:11" ht="12.75">
      <c r="A845" s="76"/>
      <c r="B845" s="76"/>
      <c r="C845" s="77"/>
      <c r="D845" s="78"/>
      <c r="E845" s="78"/>
      <c r="F845" s="76"/>
      <c r="K845" s="76"/>
    </row>
    <row r="846" spans="1:11" ht="12.75">
      <c r="A846" s="76"/>
      <c r="B846" s="76"/>
      <c r="C846" s="77"/>
      <c r="D846" s="78"/>
      <c r="E846" s="78"/>
      <c r="F846" s="76"/>
      <c r="K846" s="76"/>
    </row>
    <row r="847" spans="1:11" ht="12.75">
      <c r="A847" s="76"/>
      <c r="B847" s="76"/>
      <c r="C847" s="77"/>
      <c r="D847" s="78"/>
      <c r="E847" s="78"/>
      <c r="F847" s="76"/>
      <c r="K847" s="76"/>
    </row>
    <row r="848" spans="1:11" ht="12.75">
      <c r="A848" s="76"/>
      <c r="B848" s="76"/>
      <c r="C848" s="77"/>
      <c r="D848" s="78"/>
      <c r="E848" s="78"/>
      <c r="F848" s="76"/>
      <c r="K848" s="76"/>
    </row>
    <row r="849" spans="1:11" ht="12.75">
      <c r="A849" s="76"/>
      <c r="B849" s="76"/>
      <c r="C849" s="77"/>
      <c r="D849" s="78"/>
      <c r="E849" s="78"/>
      <c r="F849" s="76"/>
      <c r="K849" s="76"/>
    </row>
    <row r="850" spans="1:11" ht="12.75">
      <c r="A850" s="76"/>
      <c r="B850" s="76"/>
      <c r="C850" s="77"/>
      <c r="D850" s="78"/>
      <c r="E850" s="78"/>
      <c r="F850" s="76"/>
      <c r="K850" s="76"/>
    </row>
    <row r="851" spans="1:11" ht="12.75">
      <c r="A851" s="76"/>
      <c r="B851" s="76"/>
      <c r="C851" s="77"/>
      <c r="D851" s="78"/>
      <c r="E851" s="78"/>
      <c r="F851" s="76"/>
      <c r="K851" s="76"/>
    </row>
    <row r="852" spans="1:11" ht="12.75">
      <c r="A852" s="76"/>
      <c r="B852" s="76"/>
      <c r="C852" s="77"/>
      <c r="D852" s="78"/>
      <c r="E852" s="78"/>
      <c r="F852" s="76"/>
      <c r="K852" s="76"/>
    </row>
    <row r="853" spans="1:11" ht="12.75">
      <c r="A853" s="76"/>
      <c r="B853" s="76"/>
      <c r="C853" s="77"/>
      <c r="D853" s="78"/>
      <c r="E853" s="78"/>
      <c r="F853" s="76"/>
      <c r="K853" s="76"/>
    </row>
    <row r="854" spans="1:11" ht="12.75">
      <c r="A854" s="76"/>
      <c r="B854" s="76"/>
      <c r="C854" s="77"/>
      <c r="D854" s="78"/>
      <c r="E854" s="78"/>
      <c r="F854" s="76"/>
      <c r="K854" s="76"/>
    </row>
    <row r="855" spans="1:11" ht="12.75">
      <c r="A855" s="76"/>
      <c r="B855" s="76"/>
      <c r="C855" s="77"/>
      <c r="D855" s="78"/>
      <c r="E855" s="78"/>
      <c r="F855" s="76"/>
      <c r="K855" s="76"/>
    </row>
    <row r="856" spans="1:11" ht="12.75">
      <c r="A856" s="76"/>
      <c r="B856" s="76"/>
      <c r="C856" s="77"/>
      <c r="D856" s="78"/>
      <c r="E856" s="78"/>
      <c r="F856" s="76"/>
      <c r="K856" s="76"/>
    </row>
    <row r="857" spans="1:11" ht="12.75">
      <c r="A857" s="76"/>
      <c r="B857" s="76"/>
      <c r="C857" s="77"/>
      <c r="D857" s="78"/>
      <c r="E857" s="78"/>
      <c r="F857" s="76"/>
      <c r="K857" s="76"/>
    </row>
    <row r="858" spans="1:11" ht="12.75">
      <c r="A858" s="76"/>
      <c r="B858" s="76"/>
      <c r="C858" s="77"/>
      <c r="D858" s="78"/>
      <c r="E858" s="78"/>
      <c r="F858" s="76"/>
      <c r="K858" s="76"/>
    </row>
    <row r="859" spans="1:11" ht="12.75">
      <c r="A859" s="76"/>
      <c r="B859" s="76"/>
      <c r="C859" s="77"/>
      <c r="D859" s="78"/>
      <c r="E859" s="78"/>
      <c r="F859" s="76"/>
      <c r="K859" s="76"/>
    </row>
    <row r="860" spans="1:11" ht="12.75">
      <c r="A860" s="76"/>
      <c r="B860" s="76"/>
      <c r="C860" s="77"/>
      <c r="D860" s="78"/>
      <c r="E860" s="78"/>
      <c r="F860" s="76"/>
      <c r="K860" s="76"/>
    </row>
    <row r="861" spans="1:11" ht="12.75">
      <c r="A861" s="76"/>
      <c r="B861" s="76"/>
      <c r="C861" s="77"/>
      <c r="D861" s="78"/>
      <c r="E861" s="78"/>
      <c r="F861" s="76"/>
      <c r="K861" s="76"/>
    </row>
    <row r="862" spans="1:11" ht="12.75">
      <c r="A862" s="76"/>
      <c r="B862" s="76"/>
      <c r="C862" s="77"/>
      <c r="D862" s="78"/>
      <c r="E862" s="78"/>
      <c r="F862" s="76"/>
      <c r="K862" s="76"/>
    </row>
    <row r="863" spans="1:11" ht="12.75">
      <c r="A863" s="76"/>
      <c r="B863" s="76"/>
      <c r="C863" s="77"/>
      <c r="D863" s="78"/>
      <c r="E863" s="78"/>
      <c r="F863" s="76"/>
      <c r="K863" s="76"/>
    </row>
    <row r="864" spans="1:11" ht="12.75">
      <c r="A864" s="76"/>
      <c r="B864" s="76"/>
      <c r="C864" s="77"/>
      <c r="D864" s="78"/>
      <c r="E864" s="78"/>
      <c r="F864" s="76"/>
      <c r="K864" s="76"/>
    </row>
    <row r="865" spans="1:11" ht="12.75">
      <c r="A865" s="76"/>
      <c r="B865" s="76"/>
      <c r="C865" s="77"/>
      <c r="D865" s="78"/>
      <c r="E865" s="78"/>
      <c r="F865" s="76"/>
      <c r="K865" s="76"/>
    </row>
    <row r="866" spans="1:11" ht="12.75">
      <c r="A866" s="76"/>
      <c r="B866" s="76"/>
      <c r="C866" s="77"/>
      <c r="D866" s="78"/>
      <c r="E866" s="78"/>
      <c r="F866" s="76"/>
      <c r="K866" s="76"/>
    </row>
    <row r="867" spans="1:11" ht="12.75">
      <c r="A867" s="76"/>
      <c r="B867" s="76"/>
      <c r="C867" s="77"/>
      <c r="D867" s="78"/>
      <c r="E867" s="78"/>
      <c r="F867" s="76"/>
      <c r="K867" s="76"/>
    </row>
    <row r="868" spans="1:11" ht="12.75">
      <c r="A868" s="76"/>
      <c r="B868" s="76"/>
      <c r="C868" s="77"/>
      <c r="D868" s="78"/>
      <c r="E868" s="78"/>
      <c r="F868" s="76"/>
      <c r="K868" s="76"/>
    </row>
    <row r="869" spans="1:11" ht="12.75">
      <c r="A869" s="76"/>
      <c r="B869" s="76"/>
      <c r="C869" s="77"/>
      <c r="D869" s="78"/>
      <c r="E869" s="78"/>
      <c r="F869" s="76"/>
      <c r="K869" s="76"/>
    </row>
    <row r="870" spans="1:11" ht="12.75">
      <c r="A870" s="76"/>
      <c r="B870" s="76"/>
      <c r="C870" s="77"/>
      <c r="D870" s="78"/>
      <c r="E870" s="78"/>
      <c r="F870" s="76"/>
      <c r="K870" s="76"/>
    </row>
    <row r="871" spans="1:11" ht="12.75">
      <c r="A871" s="76"/>
      <c r="B871" s="76"/>
      <c r="C871" s="77"/>
      <c r="D871" s="78"/>
      <c r="E871" s="78"/>
      <c r="F871" s="76"/>
      <c r="K871" s="76"/>
    </row>
    <row r="872" spans="1:11" ht="12.75">
      <c r="A872" s="76"/>
      <c r="B872" s="76"/>
      <c r="C872" s="77"/>
      <c r="D872" s="78"/>
      <c r="E872" s="78"/>
      <c r="F872" s="76"/>
      <c r="K872" s="76"/>
    </row>
    <row r="873" spans="1:11" ht="12.75">
      <c r="A873" s="76"/>
      <c r="B873" s="76"/>
      <c r="C873" s="77"/>
      <c r="D873" s="78"/>
      <c r="E873" s="78"/>
      <c r="F873" s="76"/>
      <c r="K873" s="76"/>
    </row>
    <row r="874" spans="1:11" ht="12.75">
      <c r="A874" s="76"/>
      <c r="B874" s="76"/>
      <c r="C874" s="77"/>
      <c r="D874" s="78"/>
      <c r="E874" s="78"/>
      <c r="F874" s="76"/>
      <c r="K874" s="76"/>
    </row>
    <row r="875" spans="1:11" ht="12.75">
      <c r="A875" s="76"/>
      <c r="B875" s="76"/>
      <c r="C875" s="77"/>
      <c r="D875" s="78"/>
      <c r="E875" s="78"/>
      <c r="F875" s="76"/>
      <c r="K875" s="76"/>
    </row>
    <row r="876" spans="1:11" ht="12.75">
      <c r="A876" s="76"/>
      <c r="B876" s="76"/>
      <c r="C876" s="77"/>
      <c r="D876" s="78"/>
      <c r="E876" s="78"/>
      <c r="F876" s="76"/>
      <c r="K876" s="76"/>
    </row>
    <row r="877" spans="1:11" ht="12.75">
      <c r="A877" s="76"/>
      <c r="B877" s="76"/>
      <c r="C877" s="77"/>
      <c r="D877" s="78"/>
      <c r="E877" s="78"/>
      <c r="F877" s="76"/>
      <c r="K877" s="76"/>
    </row>
    <row r="878" spans="1:11" ht="12.75">
      <c r="A878" s="76"/>
      <c r="B878" s="76"/>
      <c r="C878" s="77"/>
      <c r="D878" s="78"/>
      <c r="E878" s="78"/>
      <c r="F878" s="76"/>
      <c r="K878" s="76"/>
    </row>
    <row r="879" spans="1:11" ht="12.75">
      <c r="A879" s="76"/>
      <c r="B879" s="76"/>
      <c r="C879" s="77"/>
      <c r="D879" s="78"/>
      <c r="E879" s="78"/>
      <c r="F879" s="76"/>
      <c r="K879" s="76"/>
    </row>
    <row r="880" spans="1:11" ht="12.75">
      <c r="A880" s="76"/>
      <c r="B880" s="76"/>
      <c r="C880" s="77"/>
      <c r="D880" s="78"/>
      <c r="E880" s="78"/>
      <c r="F880" s="76"/>
      <c r="K880" s="76"/>
    </row>
    <row r="881" spans="1:11" ht="12.75">
      <c r="A881" s="76"/>
      <c r="B881" s="76"/>
      <c r="C881" s="77"/>
      <c r="D881" s="78"/>
      <c r="E881" s="78"/>
      <c r="F881" s="76"/>
      <c r="K881" s="76"/>
    </row>
    <row r="882" spans="1:11" ht="12.75">
      <c r="A882" s="76"/>
      <c r="B882" s="76"/>
      <c r="C882" s="77"/>
      <c r="D882" s="78"/>
      <c r="E882" s="78"/>
      <c r="F882" s="76"/>
      <c r="K882" s="76"/>
    </row>
    <row r="883" spans="1:11" ht="12.75">
      <c r="A883" s="76"/>
      <c r="B883" s="76"/>
      <c r="C883" s="77"/>
      <c r="D883" s="78"/>
      <c r="E883" s="78"/>
      <c r="F883" s="76"/>
      <c r="K883" s="76"/>
    </row>
    <row r="884" spans="1:11" ht="12.75">
      <c r="A884" s="76"/>
      <c r="B884" s="76"/>
      <c r="C884" s="77"/>
      <c r="D884" s="78"/>
      <c r="E884" s="78"/>
      <c r="F884" s="76"/>
      <c r="K884" s="76"/>
    </row>
    <row r="885" spans="1:11" ht="12.75">
      <c r="A885" s="76"/>
      <c r="B885" s="76"/>
      <c r="C885" s="77"/>
      <c r="D885" s="78"/>
      <c r="E885" s="78"/>
      <c r="F885" s="76"/>
      <c r="K885" s="76"/>
    </row>
    <row r="886" spans="1:11" ht="12.75">
      <c r="A886" s="76"/>
      <c r="B886" s="76"/>
      <c r="C886" s="77"/>
      <c r="D886" s="78"/>
      <c r="E886" s="78"/>
      <c r="F886" s="76"/>
      <c r="K886" s="76"/>
    </row>
    <row r="887" spans="1:11" ht="12.75">
      <c r="A887" s="76"/>
      <c r="B887" s="76"/>
      <c r="C887" s="77"/>
      <c r="D887" s="78"/>
      <c r="E887" s="78"/>
      <c r="F887" s="76"/>
      <c r="K887" s="76"/>
    </row>
    <row r="888" spans="1:11" ht="12.75">
      <c r="A888" s="76"/>
      <c r="B888" s="76"/>
      <c r="C888" s="77"/>
      <c r="D888" s="78"/>
      <c r="E888" s="78"/>
      <c r="F888" s="76"/>
      <c r="K888" s="76"/>
    </row>
    <row r="889" spans="1:11" ht="12.75">
      <c r="A889" s="76"/>
      <c r="B889" s="76"/>
      <c r="C889" s="77"/>
      <c r="D889" s="78"/>
      <c r="E889" s="78"/>
      <c r="F889" s="76"/>
      <c r="K889" s="76"/>
    </row>
    <row r="890" spans="1:11" ht="12.75">
      <c r="A890" s="76"/>
      <c r="B890" s="76"/>
      <c r="C890" s="77"/>
      <c r="D890" s="78"/>
      <c r="E890" s="78"/>
      <c r="F890" s="76"/>
      <c r="K890" s="76"/>
    </row>
    <row r="891" spans="1:11" ht="12.75">
      <c r="A891" s="76"/>
      <c r="B891" s="76"/>
      <c r="C891" s="77"/>
      <c r="D891" s="78"/>
      <c r="E891" s="78"/>
      <c r="F891" s="76"/>
      <c r="K891" s="76"/>
    </row>
    <row r="892" spans="1:11" ht="12.75">
      <c r="A892" s="76"/>
      <c r="B892" s="76"/>
      <c r="C892" s="77"/>
      <c r="D892" s="78"/>
      <c r="E892" s="78"/>
      <c r="F892" s="76"/>
      <c r="K892" s="76"/>
    </row>
    <row r="893" spans="1:11" ht="12.75">
      <c r="A893" s="76"/>
      <c r="B893" s="76"/>
      <c r="C893" s="77"/>
      <c r="D893" s="78"/>
      <c r="E893" s="78"/>
      <c r="F893" s="76"/>
      <c r="K893" s="76"/>
    </row>
    <row r="894" spans="1:11" ht="12.75">
      <c r="A894" s="76"/>
      <c r="B894" s="76"/>
      <c r="C894" s="77"/>
      <c r="D894" s="78"/>
      <c r="E894" s="78"/>
      <c r="F894" s="76"/>
      <c r="K894" s="76"/>
    </row>
    <row r="895" spans="1:11" ht="12.75">
      <c r="A895" s="76"/>
      <c r="B895" s="76"/>
      <c r="C895" s="77"/>
      <c r="D895" s="78"/>
      <c r="E895" s="78"/>
      <c r="F895" s="76"/>
      <c r="K895" s="76"/>
    </row>
    <row r="896" spans="1:11" ht="12.75">
      <c r="A896" s="76"/>
      <c r="B896" s="76"/>
      <c r="C896" s="77"/>
      <c r="D896" s="78"/>
      <c r="E896" s="78"/>
      <c r="F896" s="76"/>
      <c r="K896" s="76"/>
    </row>
    <row r="897" spans="1:11" ht="12.75">
      <c r="A897" s="76"/>
      <c r="B897" s="76"/>
      <c r="C897" s="77"/>
      <c r="D897" s="78"/>
      <c r="E897" s="78"/>
      <c r="F897" s="76"/>
      <c r="K897" s="76"/>
    </row>
    <row r="898" spans="1:11" ht="12.75">
      <c r="A898" s="76"/>
      <c r="B898" s="76"/>
      <c r="C898" s="77"/>
      <c r="D898" s="78"/>
      <c r="E898" s="78"/>
      <c r="F898" s="76"/>
      <c r="K898" s="76"/>
    </row>
    <row r="899" spans="1:11" ht="12.75">
      <c r="A899" s="76"/>
      <c r="B899" s="76"/>
      <c r="C899" s="77"/>
      <c r="D899" s="78"/>
      <c r="E899" s="78"/>
      <c r="F899" s="76"/>
      <c r="K899" s="76"/>
    </row>
    <row r="900" spans="1:11" ht="12.75">
      <c r="A900" s="76"/>
      <c r="B900" s="76"/>
      <c r="C900" s="77"/>
      <c r="D900" s="78"/>
      <c r="E900" s="78"/>
      <c r="F900" s="76"/>
      <c r="K900" s="76"/>
    </row>
    <row r="901" spans="1:11" ht="12.75">
      <c r="A901" s="76"/>
      <c r="B901" s="76"/>
      <c r="C901" s="77"/>
      <c r="D901" s="78"/>
      <c r="E901" s="78"/>
      <c r="F901" s="76"/>
      <c r="K901" s="76"/>
    </row>
    <row r="902" spans="1:11" ht="12.75">
      <c r="A902" s="76"/>
      <c r="B902" s="76"/>
      <c r="C902" s="77"/>
      <c r="D902" s="78"/>
      <c r="E902" s="78"/>
      <c r="F902" s="76"/>
      <c r="K902" s="76"/>
    </row>
    <row r="903" spans="1:11" ht="12.75">
      <c r="A903" s="76"/>
      <c r="B903" s="76"/>
      <c r="C903" s="77"/>
      <c r="D903" s="78"/>
      <c r="E903" s="78"/>
      <c r="F903" s="76"/>
      <c r="K903" s="76"/>
    </row>
    <row r="904" spans="1:11" ht="12.75">
      <c r="A904" s="76"/>
      <c r="B904" s="76"/>
      <c r="C904" s="77"/>
      <c r="D904" s="78"/>
      <c r="E904" s="78"/>
      <c r="F904" s="76"/>
      <c r="K904" s="76"/>
    </row>
    <row r="905" spans="1:11" ht="12.75">
      <c r="A905" s="76"/>
      <c r="B905" s="76"/>
      <c r="C905" s="77"/>
      <c r="D905" s="78"/>
      <c r="E905" s="78"/>
      <c r="F905" s="76"/>
      <c r="K905" s="76"/>
    </row>
    <row r="906" spans="1:11" ht="12.75">
      <c r="A906" s="76"/>
      <c r="B906" s="76"/>
      <c r="C906" s="77"/>
      <c r="D906" s="78"/>
      <c r="E906" s="78"/>
      <c r="F906" s="76"/>
      <c r="K906" s="76"/>
    </row>
    <row r="907" spans="1:11" ht="12.75">
      <c r="A907" s="76"/>
      <c r="B907" s="76"/>
      <c r="C907" s="77"/>
      <c r="D907" s="78"/>
      <c r="E907" s="78"/>
      <c r="F907" s="76"/>
      <c r="K907" s="76"/>
    </row>
    <row r="908" spans="1:11" ht="12.75">
      <c r="A908" s="76"/>
      <c r="B908" s="76"/>
      <c r="C908" s="77"/>
      <c r="D908" s="78"/>
      <c r="E908" s="78"/>
      <c r="F908" s="76"/>
      <c r="K908" s="76"/>
    </row>
    <row r="909" spans="1:11" ht="12.75">
      <c r="A909" s="76"/>
      <c r="B909" s="76"/>
      <c r="C909" s="77"/>
      <c r="D909" s="78"/>
      <c r="E909" s="78"/>
      <c r="F909" s="76"/>
      <c r="K909" s="76"/>
    </row>
    <row r="910" spans="1:11" ht="12.75">
      <c r="A910" s="76"/>
      <c r="B910" s="76"/>
      <c r="C910" s="77"/>
      <c r="D910" s="78"/>
      <c r="E910" s="78"/>
      <c r="F910" s="76"/>
      <c r="K910" s="76"/>
    </row>
    <row r="911" spans="1:11" ht="12.75">
      <c r="A911" s="76"/>
      <c r="B911" s="76"/>
      <c r="C911" s="77"/>
      <c r="D911" s="78"/>
      <c r="E911" s="78"/>
      <c r="F911" s="76"/>
      <c r="K911" s="76"/>
    </row>
    <row r="912" spans="1:11" ht="12.75">
      <c r="A912" s="76"/>
      <c r="B912" s="76"/>
      <c r="C912" s="77"/>
      <c r="D912" s="78"/>
      <c r="E912" s="78"/>
      <c r="F912" s="76"/>
      <c r="K912" s="76"/>
    </row>
    <row r="913" spans="1:11" ht="12.75">
      <c r="A913" s="76"/>
      <c r="B913" s="76"/>
      <c r="C913" s="77"/>
      <c r="D913" s="78"/>
      <c r="E913" s="78"/>
      <c r="F913" s="76"/>
      <c r="K913" s="76"/>
    </row>
    <row r="914" spans="1:11" ht="12.75">
      <c r="A914" s="76"/>
      <c r="B914" s="76"/>
      <c r="C914" s="77"/>
      <c r="D914" s="78"/>
      <c r="E914" s="78"/>
      <c r="F914" s="76"/>
      <c r="K914" s="76"/>
    </row>
    <row r="915" spans="1:11" ht="12.75">
      <c r="A915" s="76"/>
      <c r="B915" s="76"/>
      <c r="C915" s="77"/>
      <c r="D915" s="78"/>
      <c r="E915" s="78"/>
      <c r="F915" s="76"/>
      <c r="K915" s="76"/>
    </row>
    <row r="916" spans="1:11" ht="12.75">
      <c r="A916" s="76"/>
      <c r="B916" s="76"/>
      <c r="C916" s="77"/>
      <c r="D916" s="78"/>
      <c r="E916" s="78"/>
      <c r="F916" s="76"/>
      <c r="K916" s="76"/>
    </row>
    <row r="917" spans="1:11" ht="12.75">
      <c r="A917" s="76"/>
      <c r="B917" s="76"/>
      <c r="C917" s="77"/>
      <c r="D917" s="78"/>
      <c r="E917" s="78"/>
      <c r="F917" s="76"/>
      <c r="K917" s="76"/>
    </row>
    <row r="918" spans="1:11" ht="12.75">
      <c r="A918" s="76"/>
      <c r="B918" s="76"/>
      <c r="C918" s="77"/>
      <c r="D918" s="78"/>
      <c r="E918" s="78"/>
      <c r="F918" s="76"/>
      <c r="K918" s="76"/>
    </row>
    <row r="919" spans="1:11" ht="12.75">
      <c r="A919" s="76"/>
      <c r="B919" s="76"/>
      <c r="C919" s="77"/>
      <c r="D919" s="78"/>
      <c r="E919" s="78"/>
      <c r="F919" s="76"/>
      <c r="K919" s="76"/>
    </row>
    <row r="920" spans="1:11" ht="12.75">
      <c r="A920" s="76"/>
      <c r="B920" s="76"/>
      <c r="C920" s="77"/>
      <c r="D920" s="78"/>
      <c r="E920" s="78"/>
      <c r="F920" s="76"/>
      <c r="K920" s="76"/>
    </row>
    <row r="921" spans="1:11" ht="12.75">
      <c r="A921" s="76"/>
      <c r="B921" s="76"/>
      <c r="C921" s="77"/>
      <c r="D921" s="78"/>
      <c r="E921" s="78"/>
      <c r="F921" s="76"/>
      <c r="K921" s="76"/>
    </row>
    <row r="922" spans="1:11" ht="12.75">
      <c r="A922" s="76"/>
      <c r="B922" s="76"/>
      <c r="C922" s="77"/>
      <c r="D922" s="78"/>
      <c r="E922" s="78"/>
      <c r="F922" s="76"/>
      <c r="K922" s="76"/>
    </row>
    <row r="923" spans="1:11" ht="12.75">
      <c r="A923" s="76"/>
      <c r="B923" s="76"/>
      <c r="C923" s="77"/>
      <c r="D923" s="78"/>
      <c r="E923" s="78"/>
      <c r="F923" s="76"/>
      <c r="K923" s="76"/>
    </row>
    <row r="924" spans="1:11" ht="12.75">
      <c r="A924" s="76"/>
      <c r="B924" s="76"/>
      <c r="C924" s="77"/>
      <c r="D924" s="78"/>
      <c r="E924" s="78"/>
      <c r="F924" s="76"/>
      <c r="K924" s="76"/>
    </row>
    <row r="925" spans="1:11" ht="12.75">
      <c r="A925" s="76"/>
      <c r="B925" s="76"/>
      <c r="C925" s="77"/>
      <c r="D925" s="78"/>
      <c r="E925" s="78"/>
      <c r="F925" s="76"/>
      <c r="K925" s="76"/>
    </row>
    <row r="926" spans="1:11" ht="12.75">
      <c r="A926" s="76"/>
      <c r="B926" s="76"/>
      <c r="C926" s="77"/>
      <c r="D926" s="78"/>
      <c r="E926" s="78"/>
      <c r="F926" s="76"/>
      <c r="K926" s="76"/>
    </row>
    <row r="927" spans="1:11" ht="12.75">
      <c r="A927" s="76"/>
      <c r="B927" s="76"/>
      <c r="C927" s="77"/>
      <c r="D927" s="78"/>
      <c r="E927" s="78"/>
      <c r="F927" s="76"/>
      <c r="K927" s="76"/>
    </row>
    <row r="928" spans="1:11" ht="12.75">
      <c r="A928" s="76"/>
      <c r="B928" s="76"/>
      <c r="C928" s="77"/>
      <c r="D928" s="78"/>
      <c r="E928" s="78"/>
      <c r="F928" s="76"/>
      <c r="K928" s="76"/>
    </row>
    <row r="929" spans="1:11" ht="12.75">
      <c r="A929" s="76"/>
      <c r="B929" s="76"/>
      <c r="C929" s="77"/>
      <c r="D929" s="78"/>
      <c r="E929" s="78"/>
      <c r="F929" s="76"/>
      <c r="K929" s="76"/>
    </row>
    <row r="930" spans="1:11" ht="12.75">
      <c r="A930" s="76"/>
      <c r="B930" s="76"/>
      <c r="C930" s="77"/>
      <c r="D930" s="78"/>
      <c r="E930" s="78"/>
      <c r="F930" s="76"/>
      <c r="K930" s="76"/>
    </row>
    <row r="931" spans="1:11" ht="12.75">
      <c r="A931" s="76"/>
      <c r="B931" s="76"/>
      <c r="C931" s="77"/>
      <c r="D931" s="78"/>
      <c r="E931" s="78"/>
      <c r="F931" s="76"/>
      <c r="K931" s="76"/>
    </row>
    <row r="932" spans="1:11" ht="12.75">
      <c r="A932" s="76"/>
      <c r="B932" s="76"/>
      <c r="C932" s="77"/>
      <c r="D932" s="78"/>
      <c r="E932" s="78"/>
      <c r="F932" s="76"/>
      <c r="K932" s="76"/>
    </row>
    <row r="933" spans="1:11" ht="12.75">
      <c r="A933" s="76"/>
      <c r="B933" s="76"/>
      <c r="C933" s="77"/>
      <c r="D933" s="78"/>
      <c r="E933" s="78"/>
      <c r="F933" s="76"/>
      <c r="K933" s="76"/>
    </row>
    <row r="934" spans="1:11" ht="12.75">
      <c r="A934" s="76"/>
      <c r="B934" s="76"/>
      <c r="C934" s="77"/>
      <c r="D934" s="78"/>
      <c r="E934" s="78"/>
      <c r="F934" s="76"/>
      <c r="K934" s="76"/>
    </row>
    <row r="935" spans="1:11" ht="12.75">
      <c r="A935" s="76"/>
      <c r="B935" s="76"/>
      <c r="C935" s="77"/>
      <c r="D935" s="78"/>
      <c r="E935" s="78"/>
      <c r="F935" s="76"/>
      <c r="K935" s="76"/>
    </row>
    <row r="936" spans="1:11" ht="12.75">
      <c r="A936" s="76"/>
      <c r="B936" s="76"/>
      <c r="C936" s="77"/>
      <c r="D936" s="78"/>
      <c r="E936" s="78"/>
      <c r="F936" s="76"/>
      <c r="K936" s="76"/>
    </row>
    <row r="937" spans="1:11" ht="12.75">
      <c r="A937" s="76"/>
      <c r="B937" s="76"/>
      <c r="C937" s="77"/>
      <c r="D937" s="78"/>
      <c r="E937" s="78"/>
      <c r="F937" s="76"/>
      <c r="K937" s="76"/>
    </row>
    <row r="938" spans="1:11" ht="12.75">
      <c r="A938" s="76"/>
      <c r="B938" s="76"/>
      <c r="C938" s="77"/>
      <c r="D938" s="78"/>
      <c r="E938" s="78"/>
      <c r="F938" s="76"/>
      <c r="K938" s="76"/>
    </row>
    <row r="939" spans="1:11" ht="12.75">
      <c r="A939" s="76"/>
      <c r="B939" s="76"/>
      <c r="C939" s="77"/>
      <c r="D939" s="78"/>
      <c r="E939" s="78"/>
      <c r="F939" s="76"/>
      <c r="K939" s="76"/>
    </row>
    <row r="940" spans="1:11" ht="12.75">
      <c r="A940" s="76"/>
      <c r="B940" s="76"/>
      <c r="C940" s="77"/>
      <c r="D940" s="78"/>
      <c r="E940" s="78"/>
      <c r="F940" s="76"/>
      <c r="K940" s="76"/>
    </row>
    <row r="941" spans="1:11" ht="12.75">
      <c r="A941" s="76"/>
      <c r="B941" s="76"/>
      <c r="C941" s="77"/>
      <c r="D941" s="78"/>
      <c r="E941" s="78"/>
      <c r="F941" s="76"/>
      <c r="K941" s="76"/>
    </row>
    <row r="942" spans="1:11" ht="12.75">
      <c r="A942" s="76"/>
      <c r="B942" s="76"/>
      <c r="C942" s="77"/>
      <c r="D942" s="78"/>
      <c r="E942" s="78"/>
      <c r="F942" s="76"/>
      <c r="K942" s="76"/>
    </row>
    <row r="943" spans="1:11" ht="12.75">
      <c r="A943" s="76"/>
      <c r="B943" s="76"/>
      <c r="C943" s="77"/>
      <c r="D943" s="78"/>
      <c r="E943" s="78"/>
      <c r="F943" s="76"/>
      <c r="K943" s="76"/>
    </row>
    <row r="944" spans="1:11" ht="12.75">
      <c r="A944" s="76"/>
      <c r="B944" s="76"/>
      <c r="C944" s="77"/>
      <c r="D944" s="78"/>
      <c r="E944" s="78"/>
      <c r="F944" s="76"/>
      <c r="K944" s="76"/>
    </row>
    <row r="945" spans="1:11" ht="12.75">
      <c r="A945" s="76"/>
      <c r="B945" s="76"/>
      <c r="C945" s="77"/>
      <c r="D945" s="78"/>
      <c r="E945" s="78"/>
      <c r="F945" s="76"/>
      <c r="K945" s="76"/>
    </row>
    <row r="946" spans="1:11" ht="12.75">
      <c r="A946" s="76"/>
      <c r="B946" s="76"/>
      <c r="C946" s="77"/>
      <c r="D946" s="78"/>
      <c r="E946" s="78"/>
      <c r="F946" s="76"/>
      <c r="K946" s="76"/>
    </row>
    <row r="947" spans="1:11" ht="12.75">
      <c r="A947" s="76"/>
      <c r="B947" s="76"/>
      <c r="C947" s="77"/>
      <c r="D947" s="78"/>
      <c r="E947" s="78"/>
      <c r="F947" s="76"/>
      <c r="K947" s="76"/>
    </row>
    <row r="948" spans="1:11" ht="12.75">
      <c r="A948" s="76"/>
      <c r="B948" s="76"/>
      <c r="C948" s="77"/>
      <c r="D948" s="78"/>
      <c r="E948" s="78"/>
      <c r="F948" s="76"/>
      <c r="K948" s="76"/>
    </row>
    <row r="949" spans="1:11" ht="12.75">
      <c r="A949" s="76"/>
      <c r="B949" s="76"/>
      <c r="C949" s="77"/>
      <c r="D949" s="78"/>
      <c r="E949" s="78"/>
      <c r="F949" s="76"/>
      <c r="K949" s="76"/>
    </row>
    <row r="950" spans="1:11" ht="12.75">
      <c r="A950" s="76"/>
      <c r="B950" s="76"/>
      <c r="C950" s="77"/>
      <c r="D950" s="78"/>
      <c r="E950" s="78"/>
      <c r="F950" s="76"/>
      <c r="K950" s="76"/>
    </row>
    <row r="951" spans="1:11" ht="12.75">
      <c r="A951" s="76"/>
      <c r="B951" s="76"/>
      <c r="C951" s="77"/>
      <c r="D951" s="78"/>
      <c r="E951" s="78"/>
      <c r="F951" s="76"/>
      <c r="K951" s="76"/>
    </row>
    <row r="952" spans="1:11" ht="12.75">
      <c r="A952" s="76"/>
      <c r="B952" s="76"/>
      <c r="C952" s="77"/>
      <c r="D952" s="78"/>
      <c r="E952" s="78"/>
      <c r="F952" s="76"/>
      <c r="K952" s="76"/>
    </row>
    <row r="953" spans="1:11" ht="12.75">
      <c r="A953" s="76"/>
      <c r="B953" s="76"/>
      <c r="C953" s="77"/>
      <c r="D953" s="78"/>
      <c r="E953" s="78"/>
      <c r="F953" s="76"/>
      <c r="K953" s="76"/>
    </row>
    <row r="954" spans="1:11" ht="12.75">
      <c r="A954" s="76"/>
      <c r="B954" s="76"/>
      <c r="C954" s="77"/>
      <c r="D954" s="78"/>
      <c r="E954" s="78"/>
      <c r="F954" s="76"/>
      <c r="K954" s="76"/>
    </row>
    <row r="955" spans="1:11" ht="12.75">
      <c r="A955" s="76"/>
      <c r="B955" s="76"/>
      <c r="C955" s="77"/>
      <c r="D955" s="78"/>
      <c r="E955" s="78"/>
      <c r="F955" s="76"/>
      <c r="K955" s="76"/>
    </row>
    <row r="956" spans="1:11" ht="12.75">
      <c r="A956" s="76"/>
      <c r="B956" s="76"/>
      <c r="C956" s="77"/>
      <c r="D956" s="78"/>
      <c r="E956" s="78"/>
      <c r="F956" s="76"/>
      <c r="K956" s="76"/>
    </row>
    <row r="957" spans="1:11" ht="12.75">
      <c r="A957" s="76"/>
      <c r="B957" s="76"/>
      <c r="C957" s="77"/>
      <c r="D957" s="78"/>
      <c r="E957" s="78"/>
      <c r="F957" s="76"/>
      <c r="K957" s="76"/>
    </row>
    <row r="958" spans="1:11" ht="12.75">
      <c r="A958" s="76"/>
      <c r="B958" s="76"/>
      <c r="C958" s="77"/>
      <c r="D958" s="78"/>
      <c r="E958" s="78"/>
      <c r="F958" s="76"/>
      <c r="K958" s="76"/>
    </row>
    <row r="959" spans="1:11" ht="12.75">
      <c r="A959" s="76"/>
      <c r="B959" s="76"/>
      <c r="C959" s="77"/>
      <c r="D959" s="78"/>
      <c r="E959" s="78"/>
      <c r="F959" s="76"/>
      <c r="K959" s="76"/>
    </row>
    <row r="960" spans="1:11" ht="12.75">
      <c r="A960" s="76"/>
      <c r="B960" s="76"/>
      <c r="C960" s="77"/>
      <c r="D960" s="78"/>
      <c r="E960" s="78"/>
      <c r="F960" s="76"/>
      <c r="K960" s="76"/>
    </row>
    <row r="961" spans="1:11" ht="12.75">
      <c r="A961" s="76"/>
      <c r="B961" s="76"/>
      <c r="C961" s="77"/>
      <c r="D961" s="78"/>
      <c r="E961" s="78"/>
      <c r="F961" s="76"/>
      <c r="K961" s="76"/>
    </row>
    <row r="962" spans="1:11" ht="12.75">
      <c r="A962" s="76"/>
      <c r="B962" s="76"/>
      <c r="C962" s="77"/>
      <c r="D962" s="78"/>
      <c r="E962" s="78"/>
      <c r="F962" s="76"/>
      <c r="K962" s="76"/>
    </row>
    <row r="963" spans="1:11" ht="12.75">
      <c r="A963" s="76"/>
      <c r="B963" s="76"/>
      <c r="C963" s="77"/>
      <c r="D963" s="78"/>
      <c r="E963" s="78"/>
      <c r="F963" s="76"/>
      <c r="K963" s="76"/>
    </row>
    <row r="964" spans="1:11" ht="12.75">
      <c r="A964" s="76"/>
      <c r="B964" s="76"/>
      <c r="C964" s="77"/>
      <c r="D964" s="78"/>
      <c r="E964" s="78"/>
      <c r="F964" s="76"/>
      <c r="K964" s="76"/>
    </row>
    <row r="965" spans="1:11" ht="12.75">
      <c r="A965" s="76"/>
      <c r="B965" s="76"/>
      <c r="C965" s="77"/>
      <c r="D965" s="78"/>
      <c r="E965" s="78"/>
      <c r="F965" s="76"/>
      <c r="K965" s="76"/>
    </row>
    <row r="966" spans="1:11" ht="12.75">
      <c r="A966" s="76"/>
      <c r="B966" s="76"/>
      <c r="C966" s="77"/>
      <c r="D966" s="78"/>
      <c r="E966" s="78"/>
      <c r="F966" s="76"/>
      <c r="K966" s="76"/>
    </row>
    <row r="967" spans="1:11" ht="12.75">
      <c r="A967" s="76"/>
      <c r="B967" s="76"/>
      <c r="C967" s="77"/>
      <c r="D967" s="78"/>
      <c r="E967" s="78"/>
      <c r="F967" s="76"/>
      <c r="K967" s="76"/>
    </row>
    <row r="968" spans="1:11" ht="12.75">
      <c r="A968" s="76"/>
      <c r="B968" s="76"/>
      <c r="C968" s="77"/>
      <c r="D968" s="78"/>
      <c r="E968" s="78"/>
      <c r="F968" s="76"/>
      <c r="K968" s="76"/>
    </row>
    <row r="969" spans="1:11" ht="12.75">
      <c r="A969" s="76"/>
      <c r="B969" s="76"/>
      <c r="C969" s="77"/>
      <c r="D969" s="78"/>
      <c r="E969" s="78"/>
      <c r="F969" s="76"/>
      <c r="K969" s="76"/>
    </row>
    <row r="970" spans="1:11" ht="12.75">
      <c r="A970" s="76"/>
      <c r="B970" s="76"/>
      <c r="C970" s="77"/>
      <c r="D970" s="78"/>
      <c r="E970" s="78"/>
      <c r="F970" s="76"/>
      <c r="K970" s="76"/>
    </row>
    <row r="971" spans="1:11" ht="12.75">
      <c r="A971" s="76"/>
      <c r="B971" s="76"/>
      <c r="C971" s="77"/>
      <c r="D971" s="78"/>
      <c r="E971" s="78"/>
      <c r="F971" s="76"/>
      <c r="K971" s="76"/>
    </row>
    <row r="972" spans="1:11" ht="12.75">
      <c r="A972" s="76"/>
      <c r="B972" s="76"/>
      <c r="C972" s="77"/>
      <c r="D972" s="78"/>
      <c r="E972" s="78"/>
      <c r="F972" s="76"/>
      <c r="K972" s="76"/>
    </row>
    <row r="973" spans="1:11" ht="12.75">
      <c r="A973" s="76"/>
      <c r="B973" s="76"/>
      <c r="C973" s="77"/>
      <c r="D973" s="78"/>
      <c r="E973" s="78"/>
      <c r="F973" s="76"/>
      <c r="K973" s="76"/>
    </row>
    <row r="974" spans="1:11" ht="12.75">
      <c r="A974" s="76"/>
      <c r="B974" s="76"/>
      <c r="C974" s="77"/>
      <c r="D974" s="78"/>
      <c r="E974" s="78"/>
      <c r="F974" s="76"/>
      <c r="K974" s="76"/>
    </row>
    <row r="975" spans="1:11" ht="12.75">
      <c r="A975" s="76"/>
      <c r="B975" s="76"/>
      <c r="C975" s="77"/>
      <c r="D975" s="78"/>
      <c r="E975" s="78"/>
      <c r="F975" s="76"/>
      <c r="K975" s="76"/>
    </row>
    <row r="976" spans="1:11" ht="12.75">
      <c r="A976" s="76"/>
      <c r="B976" s="76"/>
      <c r="C976" s="77"/>
      <c r="D976" s="78"/>
      <c r="E976" s="78"/>
      <c r="F976" s="76"/>
      <c r="K976" s="76"/>
    </row>
    <row r="977" spans="1:11" ht="12.75">
      <c r="A977" s="76"/>
      <c r="B977" s="76"/>
      <c r="C977" s="77"/>
      <c r="D977" s="78"/>
      <c r="E977" s="78"/>
      <c r="F977" s="76"/>
      <c r="K977" s="76"/>
    </row>
    <row r="978" spans="1:11" ht="12.75">
      <c r="A978" s="76"/>
      <c r="B978" s="76"/>
      <c r="C978" s="77"/>
      <c r="D978" s="78"/>
      <c r="E978" s="78"/>
      <c r="F978" s="76"/>
      <c r="K978" s="76"/>
    </row>
    <row r="979" spans="1:11" ht="12.75">
      <c r="A979" s="76"/>
      <c r="B979" s="76"/>
      <c r="C979" s="77"/>
      <c r="D979" s="78"/>
      <c r="E979" s="78"/>
      <c r="F979" s="76"/>
      <c r="K979" s="76"/>
    </row>
    <row r="980" spans="1:11" ht="12.75">
      <c r="A980" s="76"/>
      <c r="B980" s="76"/>
      <c r="C980" s="77"/>
      <c r="D980" s="78"/>
      <c r="E980" s="78"/>
      <c r="F980" s="76"/>
      <c r="K980" s="76"/>
    </row>
    <row r="981" spans="1:11" ht="12.75">
      <c r="A981" s="76"/>
      <c r="B981" s="76"/>
      <c r="C981" s="77"/>
      <c r="D981" s="78"/>
      <c r="E981" s="78"/>
      <c r="F981" s="76"/>
      <c r="K981" s="76"/>
    </row>
    <row r="982" spans="1:11" ht="12.75">
      <c r="A982" s="76"/>
      <c r="B982" s="76"/>
      <c r="C982" s="77"/>
      <c r="D982" s="78"/>
      <c r="E982" s="78"/>
      <c r="F982" s="76"/>
      <c r="K982" s="76"/>
    </row>
    <row r="983" spans="1:11" ht="12.75">
      <c r="A983" s="76"/>
      <c r="B983" s="76"/>
      <c r="C983" s="77"/>
      <c r="D983" s="78"/>
      <c r="E983" s="78"/>
      <c r="F983" s="76"/>
      <c r="K983" s="76"/>
    </row>
    <row r="984" spans="1:11" ht="12.75">
      <c r="A984" s="76"/>
      <c r="B984" s="76"/>
      <c r="C984" s="77"/>
      <c r="D984" s="78"/>
      <c r="E984" s="78"/>
      <c r="F984" s="76"/>
      <c r="K984" s="76"/>
    </row>
    <row r="985" spans="1:11" ht="12.75">
      <c r="A985" s="76"/>
      <c r="B985" s="76"/>
      <c r="C985" s="77"/>
      <c r="D985" s="78"/>
      <c r="E985" s="78"/>
      <c r="F985" s="76"/>
      <c r="K985" s="76"/>
    </row>
    <row r="986" spans="1:11" ht="12.75">
      <c r="A986" s="76"/>
      <c r="B986" s="76"/>
      <c r="C986" s="77"/>
      <c r="D986" s="78"/>
      <c r="E986" s="78"/>
      <c r="F986" s="76"/>
      <c r="K986" s="76"/>
    </row>
    <row r="987" spans="1:11" ht="12.75">
      <c r="A987" s="76"/>
      <c r="B987" s="76"/>
      <c r="C987" s="77"/>
      <c r="D987" s="78"/>
      <c r="E987" s="78"/>
      <c r="F987" s="76"/>
      <c r="K987" s="76"/>
    </row>
    <row r="988" spans="1:11" ht="12.75">
      <c r="A988" s="76"/>
      <c r="B988" s="76"/>
      <c r="C988" s="77"/>
      <c r="D988" s="78"/>
      <c r="E988" s="78"/>
      <c r="F988" s="76"/>
      <c r="K988" s="76"/>
    </row>
    <row r="989" spans="1:11" ht="12.75">
      <c r="A989" s="76"/>
      <c r="B989" s="76"/>
      <c r="C989" s="77"/>
      <c r="D989" s="78"/>
      <c r="E989" s="78"/>
      <c r="F989" s="76"/>
      <c r="K989" s="76"/>
    </row>
    <row r="990" spans="1:11" ht="12.75">
      <c r="A990" s="76"/>
      <c r="B990" s="76"/>
      <c r="C990" s="77"/>
      <c r="D990" s="78"/>
      <c r="E990" s="78"/>
      <c r="F990" s="76"/>
      <c r="K990" s="76"/>
    </row>
    <row r="991" spans="1:11" ht="12.75">
      <c r="A991" s="76"/>
      <c r="B991" s="76"/>
      <c r="C991" s="77"/>
      <c r="D991" s="78"/>
      <c r="E991" s="78"/>
      <c r="F991" s="76"/>
      <c r="K991" s="76"/>
    </row>
    <row r="992" spans="1:11" ht="12.75">
      <c r="A992" s="76"/>
      <c r="B992" s="76"/>
      <c r="C992" s="77"/>
      <c r="D992" s="78"/>
      <c r="E992" s="78"/>
      <c r="F992" s="76"/>
      <c r="K992" s="76"/>
    </row>
    <row r="993" spans="1:11" ht="12.75">
      <c r="A993" s="76"/>
      <c r="B993" s="76"/>
      <c r="C993" s="77"/>
      <c r="D993" s="78"/>
      <c r="E993" s="78"/>
      <c r="F993" s="76"/>
      <c r="K993" s="76"/>
    </row>
    <row r="994" spans="1:11" ht="12.75">
      <c r="A994" s="76"/>
      <c r="B994" s="76"/>
      <c r="C994" s="77"/>
      <c r="D994" s="78"/>
      <c r="E994" s="78"/>
      <c r="F994" s="76"/>
      <c r="K994" s="76"/>
    </row>
    <row r="995" spans="1:11" ht="12.75">
      <c r="A995" s="76"/>
      <c r="B995" s="76"/>
      <c r="C995" s="77"/>
      <c r="D995" s="78"/>
      <c r="E995" s="78"/>
      <c r="F995" s="76"/>
      <c r="K995" s="76"/>
    </row>
    <row r="996" spans="1:11" ht="12.75">
      <c r="A996" s="76"/>
      <c r="B996" s="76"/>
      <c r="C996" s="77"/>
      <c r="D996" s="78"/>
      <c r="E996" s="78"/>
      <c r="F996" s="76"/>
      <c r="K996" s="76"/>
    </row>
    <row r="997" spans="1:11" ht="12.75">
      <c r="A997" s="76"/>
      <c r="B997" s="76"/>
      <c r="C997" s="77"/>
      <c r="D997" s="78"/>
      <c r="E997" s="78"/>
      <c r="F997" s="76"/>
      <c r="K997" s="76"/>
    </row>
    <row r="998" spans="1:11" ht="12.75">
      <c r="A998" s="76"/>
      <c r="B998" s="76"/>
      <c r="C998" s="77"/>
      <c r="D998" s="78"/>
      <c r="E998" s="78"/>
      <c r="F998" s="76"/>
      <c r="K998" s="76"/>
    </row>
    <row r="999" spans="1:11" ht="12.75">
      <c r="A999" s="76"/>
      <c r="B999" s="76"/>
      <c r="C999" s="77"/>
      <c r="D999" s="78"/>
      <c r="E999" s="78"/>
      <c r="F999" s="76"/>
      <c r="K999" s="76"/>
    </row>
    <row r="1000" spans="1:11" ht="12.75">
      <c r="A1000" s="76"/>
      <c r="B1000" s="76"/>
      <c r="C1000" s="77"/>
      <c r="D1000" s="78"/>
      <c r="E1000" s="78"/>
      <c r="F1000" s="76"/>
      <c r="K1000" s="76"/>
    </row>
    <row r="1001" spans="1:11" ht="12.75">
      <c r="A1001" s="76"/>
      <c r="B1001" s="76"/>
      <c r="C1001" s="77"/>
      <c r="D1001" s="78"/>
      <c r="E1001" s="78"/>
      <c r="F1001" s="76"/>
      <c r="K1001" s="76"/>
    </row>
    <row r="1002" spans="1:11" ht="12.75">
      <c r="A1002" s="76"/>
      <c r="B1002" s="76"/>
      <c r="C1002" s="77"/>
      <c r="D1002" s="78"/>
      <c r="E1002" s="78"/>
      <c r="F1002" s="76"/>
      <c r="K1002" s="76"/>
    </row>
    <row r="1003" spans="1:11" ht="12.75">
      <c r="A1003" s="76"/>
      <c r="B1003" s="76"/>
      <c r="C1003" s="77"/>
      <c r="D1003" s="78"/>
      <c r="E1003" s="78"/>
      <c r="F1003" s="76"/>
      <c r="K1003" s="76"/>
    </row>
    <row r="1004" spans="1:11" ht="12.75">
      <c r="A1004" s="76"/>
      <c r="B1004" s="76"/>
      <c r="C1004" s="77"/>
      <c r="D1004" s="78"/>
      <c r="E1004" s="78"/>
      <c r="F1004" s="76"/>
      <c r="K1004" s="76"/>
    </row>
    <row r="1005" spans="1:11" ht="12.75">
      <c r="A1005" s="76"/>
      <c r="B1005" s="76"/>
      <c r="C1005" s="77"/>
      <c r="D1005" s="78"/>
      <c r="E1005" s="78"/>
      <c r="F1005" s="76"/>
      <c r="K1005" s="76"/>
    </row>
    <row r="1006" spans="1:11" ht="12.75">
      <c r="A1006" s="76"/>
      <c r="B1006" s="76"/>
      <c r="C1006" s="77"/>
      <c r="D1006" s="78"/>
      <c r="E1006" s="78"/>
      <c r="F1006" s="76"/>
      <c r="K1006" s="76"/>
    </row>
    <row r="1007" spans="1:11" ht="12.75">
      <c r="A1007" s="76"/>
      <c r="B1007" s="76"/>
      <c r="C1007" s="77"/>
      <c r="D1007" s="78"/>
      <c r="E1007" s="78"/>
      <c r="F1007" s="76"/>
      <c r="K1007" s="76"/>
    </row>
    <row r="1008" spans="1:11" ht="12.75">
      <c r="A1008" s="76"/>
      <c r="B1008" s="76"/>
      <c r="C1008" s="77"/>
      <c r="D1008" s="78"/>
      <c r="E1008" s="78"/>
      <c r="F1008" s="76"/>
      <c r="K1008" s="76"/>
    </row>
    <row r="1009" spans="1:11" ht="12.75">
      <c r="A1009" s="76"/>
      <c r="B1009" s="76"/>
      <c r="C1009" s="77"/>
      <c r="D1009" s="78"/>
      <c r="E1009" s="78"/>
      <c r="F1009" s="76"/>
      <c r="K1009" s="76"/>
    </row>
    <row r="1010" spans="1:11" ht="12.75">
      <c r="A1010" s="76"/>
      <c r="B1010" s="76"/>
      <c r="C1010" s="77"/>
      <c r="D1010" s="78"/>
      <c r="E1010" s="78"/>
      <c r="F1010" s="76"/>
      <c r="K1010" s="76"/>
    </row>
    <row r="1011" spans="1:11" ht="12.75">
      <c r="A1011" s="76"/>
      <c r="B1011" s="76"/>
      <c r="C1011" s="77"/>
      <c r="D1011" s="78"/>
      <c r="E1011" s="78"/>
      <c r="F1011" s="76"/>
      <c r="K1011" s="76"/>
    </row>
    <row r="1012" spans="1:11" ht="12.75">
      <c r="A1012" s="76"/>
      <c r="B1012" s="76"/>
      <c r="C1012" s="77"/>
      <c r="D1012" s="78"/>
      <c r="E1012" s="78"/>
      <c r="F1012" s="76"/>
      <c r="K1012" s="76"/>
    </row>
    <row r="1013" spans="1:11" ht="12.75">
      <c r="A1013" s="76"/>
      <c r="B1013" s="76"/>
      <c r="C1013" s="77"/>
      <c r="D1013" s="78"/>
      <c r="E1013" s="78"/>
      <c r="F1013" s="76"/>
      <c r="K1013" s="76"/>
    </row>
    <row r="1014" spans="1:11" ht="12.75">
      <c r="A1014" s="76"/>
      <c r="B1014" s="76"/>
      <c r="C1014" s="77"/>
      <c r="D1014" s="78"/>
      <c r="E1014" s="78"/>
      <c r="F1014" s="76"/>
      <c r="K1014" s="76"/>
    </row>
    <row r="1015" spans="1:11" ht="12.75">
      <c r="A1015" s="76"/>
      <c r="B1015" s="76"/>
      <c r="C1015" s="77"/>
      <c r="D1015" s="78"/>
      <c r="E1015" s="78"/>
      <c r="F1015" s="76"/>
      <c r="K1015" s="76"/>
    </row>
    <row r="1016" spans="1:11" ht="12.75">
      <c r="A1016" s="76"/>
      <c r="B1016" s="76"/>
      <c r="C1016" s="77"/>
      <c r="D1016" s="78"/>
      <c r="E1016" s="78"/>
      <c r="F1016" s="76"/>
      <c r="K1016" s="76"/>
    </row>
    <row r="1017" spans="1:11" ht="12.75">
      <c r="A1017" s="76"/>
      <c r="B1017" s="76"/>
      <c r="C1017" s="77"/>
      <c r="D1017" s="78"/>
      <c r="E1017" s="78"/>
      <c r="F1017" s="76"/>
      <c r="K1017" s="76"/>
    </row>
    <row r="1018" spans="1:11" ht="12.75">
      <c r="A1018" s="76"/>
      <c r="B1018" s="76"/>
      <c r="C1018" s="77"/>
      <c r="D1018" s="78"/>
      <c r="E1018" s="78"/>
      <c r="F1018" s="76"/>
      <c r="K1018" s="76"/>
    </row>
    <row r="1019" spans="1:11" ht="12.75">
      <c r="A1019" s="76"/>
      <c r="B1019" s="76"/>
      <c r="C1019" s="77"/>
      <c r="D1019" s="78"/>
      <c r="E1019" s="78"/>
      <c r="F1019" s="76"/>
      <c r="K1019" s="76"/>
    </row>
    <row r="1020" spans="1:11" ht="12.75">
      <c r="A1020" s="76"/>
      <c r="B1020" s="76"/>
      <c r="C1020" s="77"/>
      <c r="D1020" s="78"/>
      <c r="E1020" s="78"/>
      <c r="F1020" s="76"/>
      <c r="K1020" s="76"/>
    </row>
    <row r="1021" spans="1:11" ht="12.75">
      <c r="A1021" s="76"/>
      <c r="B1021" s="76"/>
      <c r="C1021" s="77"/>
      <c r="D1021" s="78"/>
      <c r="E1021" s="78"/>
      <c r="F1021" s="76"/>
      <c r="K1021" s="76"/>
    </row>
    <row r="1022" spans="1:11" ht="12.75">
      <c r="A1022" s="76"/>
      <c r="B1022" s="76"/>
      <c r="C1022" s="77"/>
      <c r="D1022" s="78"/>
      <c r="E1022" s="78"/>
      <c r="F1022" s="76"/>
      <c r="K1022" s="76"/>
    </row>
    <row r="1023" spans="1:11" ht="12.75">
      <c r="A1023" s="76"/>
      <c r="B1023" s="76"/>
      <c r="C1023" s="77"/>
      <c r="D1023" s="78"/>
      <c r="E1023" s="78"/>
      <c r="F1023" s="76"/>
      <c r="K1023" s="76"/>
    </row>
    <row r="1024" spans="1:11" ht="12.75">
      <c r="A1024" s="76"/>
      <c r="B1024" s="76"/>
      <c r="C1024" s="77"/>
      <c r="D1024" s="78"/>
      <c r="E1024" s="78"/>
      <c r="F1024" s="76"/>
      <c r="K1024" s="76"/>
    </row>
    <row r="1025" spans="1:11" ht="12.75">
      <c r="A1025" s="76"/>
      <c r="B1025" s="76"/>
      <c r="C1025" s="77"/>
      <c r="D1025" s="78"/>
      <c r="E1025" s="78"/>
      <c r="F1025" s="76"/>
      <c r="K1025" s="76"/>
    </row>
    <row r="1026" spans="1:11" ht="12.75">
      <c r="A1026" s="76"/>
      <c r="B1026" s="76"/>
      <c r="C1026" s="77"/>
      <c r="D1026" s="78"/>
      <c r="E1026" s="78"/>
      <c r="F1026" s="76"/>
      <c r="K1026" s="76"/>
    </row>
    <row r="1027" spans="1:11" ht="12.75">
      <c r="A1027" s="76"/>
      <c r="B1027" s="76"/>
      <c r="C1027" s="77"/>
      <c r="D1027" s="78"/>
      <c r="E1027" s="78"/>
      <c r="F1027" s="76"/>
      <c r="K1027" s="76"/>
    </row>
    <row r="1028" spans="1:11" ht="12.75">
      <c r="A1028" s="76"/>
      <c r="B1028" s="76"/>
      <c r="C1028" s="77"/>
      <c r="D1028" s="78"/>
      <c r="E1028" s="78"/>
      <c r="F1028" s="76"/>
      <c r="K1028" s="76"/>
    </row>
    <row r="1029" spans="1:11" ht="12.75">
      <c r="A1029" s="76"/>
      <c r="B1029" s="76"/>
      <c r="C1029" s="77"/>
      <c r="D1029" s="78"/>
      <c r="E1029" s="78"/>
      <c r="F1029" s="76"/>
      <c r="K1029" s="76"/>
    </row>
    <row r="1030" spans="1:11" ht="12.75">
      <c r="A1030" s="76"/>
      <c r="B1030" s="76"/>
      <c r="C1030" s="77"/>
      <c r="D1030" s="78"/>
      <c r="E1030" s="78"/>
      <c r="F1030" s="76"/>
      <c r="K1030" s="76"/>
    </row>
    <row r="1031" spans="1:11" ht="12.75">
      <c r="A1031" s="76"/>
      <c r="B1031" s="76"/>
      <c r="C1031" s="77"/>
      <c r="D1031" s="78"/>
      <c r="E1031" s="78"/>
      <c r="F1031" s="76"/>
      <c r="K1031" s="76"/>
    </row>
    <row r="1032" spans="1:11" ht="12.75">
      <c r="A1032" s="76"/>
      <c r="B1032" s="76"/>
      <c r="C1032" s="77"/>
      <c r="D1032" s="78"/>
      <c r="E1032" s="78"/>
      <c r="F1032" s="76"/>
      <c r="K1032" s="76"/>
    </row>
    <row r="1033" spans="1:11" ht="12.75">
      <c r="A1033" s="76"/>
      <c r="B1033" s="76"/>
      <c r="C1033" s="77"/>
      <c r="D1033" s="78"/>
      <c r="E1033" s="78"/>
      <c r="F1033" s="76"/>
      <c r="K1033" s="76"/>
    </row>
    <row r="1034" spans="1:11" ht="12.75">
      <c r="A1034" s="76"/>
      <c r="B1034" s="76"/>
      <c r="C1034" s="77"/>
      <c r="D1034" s="78"/>
      <c r="E1034" s="78"/>
      <c r="F1034" s="76"/>
      <c r="K1034" s="76"/>
    </row>
    <row r="1035" spans="1:11" ht="12.75">
      <c r="A1035" s="76"/>
      <c r="B1035" s="76"/>
      <c r="C1035" s="77"/>
      <c r="D1035" s="78"/>
      <c r="E1035" s="78"/>
      <c r="F1035" s="76"/>
      <c r="K1035" s="76"/>
    </row>
    <row r="1036" spans="1:11" ht="12.75">
      <c r="A1036" s="76"/>
      <c r="B1036" s="76"/>
      <c r="C1036" s="77"/>
      <c r="D1036" s="78"/>
      <c r="E1036" s="78"/>
      <c r="F1036" s="76"/>
      <c r="K1036" s="76"/>
    </row>
    <row r="1037" spans="1:11" ht="12.75">
      <c r="A1037" s="76"/>
      <c r="B1037" s="76"/>
      <c r="C1037" s="77"/>
      <c r="D1037" s="78"/>
      <c r="E1037" s="78"/>
      <c r="F1037" s="76"/>
      <c r="K1037" s="76"/>
    </row>
    <row r="1038" spans="1:11" ht="12.75">
      <c r="A1038" s="76"/>
      <c r="B1038" s="76"/>
      <c r="C1038" s="77"/>
      <c r="D1038" s="78"/>
      <c r="E1038" s="78"/>
      <c r="F1038" s="76"/>
      <c r="K1038" s="76"/>
    </row>
    <row r="1039" spans="1:11" ht="12.75">
      <c r="A1039" s="76"/>
      <c r="B1039" s="76"/>
      <c r="C1039" s="77"/>
      <c r="D1039" s="78"/>
      <c r="E1039" s="78"/>
      <c r="F1039" s="76"/>
      <c r="K1039" s="76"/>
    </row>
    <row r="1040" spans="1:11" ht="12.75">
      <c r="A1040" s="76"/>
      <c r="B1040" s="76"/>
      <c r="C1040" s="77"/>
      <c r="D1040" s="78"/>
      <c r="E1040" s="78"/>
      <c r="F1040" s="76"/>
      <c r="K1040" s="76"/>
    </row>
    <row r="1041" spans="1:11" ht="12.75">
      <c r="A1041" s="76"/>
      <c r="B1041" s="76"/>
      <c r="C1041" s="77"/>
      <c r="D1041" s="78"/>
      <c r="E1041" s="78"/>
      <c r="F1041" s="76"/>
      <c r="K1041" s="76"/>
    </row>
    <row r="1042" spans="1:11" ht="12.75">
      <c r="A1042" s="76"/>
      <c r="B1042" s="76"/>
      <c r="C1042" s="77"/>
      <c r="D1042" s="78"/>
      <c r="E1042" s="78"/>
      <c r="F1042" s="76"/>
      <c r="K1042" s="76"/>
    </row>
    <row r="1043" spans="1:11" ht="12.75">
      <c r="A1043" s="76"/>
      <c r="B1043" s="76"/>
      <c r="C1043" s="77"/>
      <c r="D1043" s="78"/>
      <c r="E1043" s="78"/>
      <c r="F1043" s="76"/>
      <c r="K1043" s="76"/>
    </row>
    <row r="1044" spans="1:11" ht="12.75">
      <c r="A1044" s="76"/>
      <c r="B1044" s="76"/>
      <c r="C1044" s="77"/>
      <c r="D1044" s="78"/>
      <c r="E1044" s="78"/>
      <c r="F1044" s="76"/>
      <c r="K1044" s="76"/>
    </row>
    <row r="1045" spans="1:11" ht="12.75">
      <c r="A1045" s="76"/>
      <c r="B1045" s="76"/>
      <c r="C1045" s="77"/>
      <c r="D1045" s="78"/>
      <c r="E1045" s="78"/>
      <c r="F1045" s="76"/>
      <c r="K1045" s="76"/>
    </row>
    <row r="1046" spans="1:11" ht="12.75">
      <c r="A1046" s="76"/>
      <c r="B1046" s="76"/>
      <c r="C1046" s="77"/>
      <c r="D1046" s="78"/>
      <c r="E1046" s="78"/>
      <c r="F1046" s="76"/>
      <c r="K1046" s="76"/>
    </row>
    <row r="1047" spans="1:11" ht="12.75">
      <c r="A1047" s="76"/>
      <c r="B1047" s="76"/>
      <c r="C1047" s="77"/>
      <c r="D1047" s="78"/>
      <c r="E1047" s="78"/>
      <c r="F1047" s="76"/>
      <c r="K1047" s="76"/>
    </row>
    <row r="1048" spans="1:11" ht="12.75">
      <c r="A1048" s="76"/>
      <c r="B1048" s="76"/>
      <c r="C1048" s="77"/>
      <c r="D1048" s="78"/>
      <c r="E1048" s="78"/>
      <c r="F1048" s="76"/>
      <c r="K1048" s="76"/>
    </row>
    <row r="1049" spans="1:11" ht="12.75">
      <c r="A1049" s="76"/>
      <c r="B1049" s="76"/>
      <c r="C1049" s="77"/>
      <c r="D1049" s="78"/>
      <c r="E1049" s="78"/>
      <c r="F1049" s="76"/>
      <c r="K1049" s="76"/>
    </row>
    <row r="1050" spans="1:11" ht="12.75">
      <c r="A1050" s="76"/>
      <c r="B1050" s="76"/>
      <c r="C1050" s="77"/>
      <c r="D1050" s="78"/>
      <c r="E1050" s="78"/>
      <c r="F1050" s="76"/>
      <c r="K1050" s="76"/>
    </row>
    <row r="1051" spans="1:11" ht="12.75">
      <c r="A1051" s="76"/>
      <c r="B1051" s="76"/>
      <c r="C1051" s="77"/>
      <c r="D1051" s="78"/>
      <c r="E1051" s="78"/>
      <c r="F1051" s="76"/>
      <c r="K1051" s="76"/>
    </row>
    <row r="1052" spans="1:11" ht="12.75">
      <c r="A1052" s="76"/>
      <c r="B1052" s="76"/>
      <c r="C1052" s="77"/>
      <c r="D1052" s="78"/>
      <c r="E1052" s="78"/>
      <c r="F1052" s="76"/>
      <c r="K1052" s="76"/>
    </row>
    <row r="1053" spans="1:11" ht="12.75">
      <c r="A1053" s="76"/>
      <c r="B1053" s="76"/>
      <c r="C1053" s="77"/>
      <c r="D1053" s="78"/>
      <c r="E1053" s="78"/>
      <c r="F1053" s="76"/>
      <c r="K1053" s="76"/>
    </row>
    <row r="1054" spans="1:11" ht="12.75">
      <c r="A1054" s="76"/>
      <c r="B1054" s="76"/>
      <c r="C1054" s="77"/>
      <c r="D1054" s="78"/>
      <c r="E1054" s="78"/>
      <c r="F1054" s="76"/>
      <c r="K1054" s="76"/>
    </row>
    <row r="1055" spans="1:11" ht="12.75">
      <c r="A1055" s="76"/>
      <c r="B1055" s="76"/>
      <c r="C1055" s="77"/>
      <c r="D1055" s="78"/>
      <c r="E1055" s="78"/>
      <c r="F1055" s="76"/>
      <c r="K1055" s="76"/>
    </row>
    <row r="1056" spans="1:11" ht="12.75">
      <c r="A1056" s="76"/>
      <c r="B1056" s="76"/>
      <c r="C1056" s="77"/>
      <c r="D1056" s="78"/>
      <c r="E1056" s="78"/>
      <c r="F1056" s="76"/>
      <c r="K1056" s="76"/>
    </row>
    <row r="1057" spans="1:11" ht="12.75">
      <c r="A1057" s="76"/>
      <c r="B1057" s="76"/>
      <c r="C1057" s="77"/>
      <c r="D1057" s="78"/>
      <c r="E1057" s="78"/>
      <c r="F1057" s="76"/>
      <c r="K1057" s="76"/>
    </row>
    <row r="1058" spans="1:11" ht="12.75">
      <c r="A1058" s="76"/>
      <c r="B1058" s="76"/>
      <c r="C1058" s="77"/>
      <c r="D1058" s="78"/>
      <c r="E1058" s="78"/>
      <c r="F1058" s="76"/>
      <c r="K1058" s="76"/>
    </row>
    <row r="1059" spans="1:11" ht="12.75">
      <c r="A1059" s="76"/>
      <c r="B1059" s="76"/>
      <c r="C1059" s="77"/>
      <c r="D1059" s="78"/>
      <c r="E1059" s="78"/>
      <c r="F1059" s="76"/>
      <c r="K1059" s="76"/>
    </row>
    <row r="1060" spans="1:11" ht="12.75">
      <c r="A1060" s="76"/>
      <c r="B1060" s="76"/>
      <c r="C1060" s="77"/>
      <c r="D1060" s="78"/>
      <c r="E1060" s="78"/>
      <c r="F1060" s="76"/>
      <c r="K1060" s="76"/>
    </row>
    <row r="1061" spans="1:11" ht="12.75">
      <c r="A1061" s="76"/>
      <c r="B1061" s="76"/>
      <c r="C1061" s="77"/>
      <c r="D1061" s="78"/>
      <c r="E1061" s="78"/>
      <c r="F1061" s="76"/>
      <c r="K1061" s="76"/>
    </row>
    <row r="1062" spans="1:11" ht="12.75">
      <c r="A1062" s="76"/>
      <c r="B1062" s="76"/>
      <c r="C1062" s="77"/>
      <c r="D1062" s="78"/>
      <c r="E1062" s="78"/>
      <c r="F1062" s="76"/>
      <c r="K1062" s="76"/>
    </row>
    <row r="1063" spans="1:11" ht="12.75">
      <c r="A1063" s="76"/>
      <c r="B1063" s="76"/>
      <c r="C1063" s="77"/>
      <c r="D1063" s="78"/>
      <c r="E1063" s="78"/>
      <c r="F1063" s="76"/>
      <c r="K1063" s="76"/>
    </row>
    <row r="1064" spans="1:11" ht="12.75">
      <c r="A1064" s="76"/>
      <c r="B1064" s="76"/>
      <c r="C1064" s="77"/>
      <c r="D1064" s="78"/>
      <c r="E1064" s="78"/>
      <c r="F1064" s="76"/>
      <c r="K1064" s="76"/>
    </row>
    <row r="1065" spans="1:11" ht="12.75">
      <c r="A1065" s="76"/>
      <c r="B1065" s="76"/>
      <c r="C1065" s="77"/>
      <c r="D1065" s="78"/>
      <c r="E1065" s="78"/>
      <c r="F1065" s="76"/>
      <c r="K1065" s="76"/>
    </row>
    <row r="1066" spans="1:11" ht="12.75">
      <c r="A1066" s="76"/>
      <c r="B1066" s="76"/>
      <c r="C1066" s="77"/>
      <c r="D1066" s="78"/>
      <c r="E1066" s="78"/>
      <c r="F1066" s="76"/>
      <c r="K1066" s="76"/>
    </row>
    <row r="1067" spans="1:11" ht="12.75">
      <c r="A1067" s="76"/>
      <c r="B1067" s="76"/>
      <c r="C1067" s="77"/>
      <c r="D1067" s="78"/>
      <c r="E1067" s="78"/>
      <c r="F1067" s="76"/>
      <c r="K1067" s="76"/>
    </row>
    <row r="1068" spans="1:11" ht="12.75">
      <c r="A1068" s="76"/>
      <c r="B1068" s="76"/>
      <c r="C1068" s="77"/>
      <c r="D1068" s="78"/>
      <c r="E1068" s="78"/>
      <c r="F1068" s="76"/>
      <c r="K1068" s="76"/>
    </row>
    <row r="1069" spans="1:11" ht="12.75">
      <c r="A1069" s="76"/>
      <c r="B1069" s="76"/>
      <c r="C1069" s="77"/>
      <c r="D1069" s="78"/>
      <c r="E1069" s="78"/>
      <c r="F1069" s="76"/>
      <c r="K1069" s="76"/>
    </row>
    <row r="1070" spans="1:11" ht="12.75">
      <c r="A1070" s="76"/>
      <c r="B1070" s="76"/>
      <c r="C1070" s="77"/>
      <c r="D1070" s="78"/>
      <c r="E1070" s="78"/>
      <c r="F1070" s="76"/>
      <c r="K1070" s="76"/>
    </row>
    <row r="1071" spans="1:11" ht="12.75">
      <c r="A1071" s="76"/>
      <c r="B1071" s="76"/>
      <c r="C1071" s="77"/>
      <c r="D1071" s="78"/>
      <c r="E1071" s="78"/>
      <c r="F1071" s="76"/>
      <c r="K1071" s="76"/>
    </row>
    <row r="1072" spans="1:11" ht="12.75">
      <c r="A1072" s="76"/>
      <c r="B1072" s="76"/>
      <c r="C1072" s="77"/>
      <c r="D1072" s="78"/>
      <c r="E1072" s="78"/>
      <c r="F1072" s="76"/>
      <c r="K1072" s="76"/>
    </row>
    <row r="1073" spans="1:11" ht="12.75">
      <c r="A1073" s="76"/>
      <c r="B1073" s="76"/>
      <c r="C1073" s="77"/>
      <c r="D1073" s="78"/>
      <c r="E1073" s="78"/>
      <c r="F1073" s="76"/>
      <c r="K1073" s="76"/>
    </row>
    <row r="1074" spans="1:11" ht="12.75">
      <c r="A1074" s="76"/>
      <c r="B1074" s="76"/>
      <c r="C1074" s="77"/>
      <c r="D1074" s="78"/>
      <c r="E1074" s="78"/>
      <c r="F1074" s="76"/>
      <c r="K1074" s="76"/>
    </row>
    <row r="1075" spans="1:11" ht="12.75">
      <c r="A1075" s="76"/>
      <c r="B1075" s="76"/>
      <c r="C1075" s="77"/>
      <c r="D1075" s="78"/>
      <c r="E1075" s="78"/>
      <c r="F1075" s="76"/>
      <c r="K1075" s="76"/>
    </row>
    <row r="1076" spans="1:11" ht="12.75">
      <c r="A1076" s="76"/>
      <c r="B1076" s="76"/>
      <c r="C1076" s="77"/>
      <c r="D1076" s="78"/>
      <c r="E1076" s="78"/>
      <c r="F1076" s="76"/>
      <c r="K1076" s="76"/>
    </row>
    <row r="1077" spans="1:11" ht="12.75">
      <c r="A1077" s="76"/>
      <c r="B1077" s="76"/>
      <c r="C1077" s="77"/>
      <c r="D1077" s="78"/>
      <c r="E1077" s="78"/>
      <c r="F1077" s="76"/>
      <c r="K1077" s="76"/>
    </row>
    <row r="1078" spans="1:11" ht="12.75">
      <c r="A1078" s="76"/>
      <c r="B1078" s="76"/>
      <c r="C1078" s="77"/>
      <c r="D1078" s="78"/>
      <c r="E1078" s="78"/>
      <c r="F1078" s="76"/>
      <c r="K1078" s="76"/>
    </row>
    <row r="1079" spans="1:11" ht="12.75">
      <c r="A1079" s="76"/>
      <c r="B1079" s="76"/>
      <c r="C1079" s="77"/>
      <c r="D1079" s="78"/>
      <c r="E1079" s="78"/>
      <c r="F1079" s="76"/>
      <c r="K1079" s="76"/>
    </row>
    <row r="1080" spans="1:11" ht="12.75">
      <c r="A1080" s="76"/>
      <c r="B1080" s="76"/>
      <c r="C1080" s="77"/>
      <c r="D1080" s="78"/>
      <c r="E1080" s="78"/>
      <c r="F1080" s="76"/>
      <c r="K1080" s="76"/>
    </row>
    <row r="1081" spans="1:11" ht="12.75">
      <c r="A1081" s="76"/>
      <c r="B1081" s="76"/>
      <c r="C1081" s="77"/>
      <c r="D1081" s="78"/>
      <c r="E1081" s="78"/>
      <c r="F1081" s="76"/>
      <c r="K1081" s="76"/>
    </row>
    <row r="1082" spans="1:11" ht="12.75">
      <c r="A1082" s="76"/>
      <c r="B1082" s="76"/>
      <c r="C1082" s="77"/>
      <c r="D1082" s="78"/>
      <c r="E1082" s="78"/>
      <c r="F1082" s="76"/>
      <c r="K1082" s="76"/>
    </row>
    <row r="1083" spans="1:11" ht="12.75">
      <c r="A1083" s="76"/>
      <c r="B1083" s="76"/>
      <c r="C1083" s="77"/>
      <c r="D1083" s="78"/>
      <c r="E1083" s="78"/>
      <c r="F1083" s="76"/>
      <c r="K1083" s="76"/>
    </row>
    <row r="1084" spans="1:11" ht="12.75">
      <c r="A1084" s="76"/>
      <c r="B1084" s="76"/>
      <c r="C1084" s="77"/>
      <c r="D1084" s="78"/>
      <c r="E1084" s="78"/>
      <c r="F1084" s="76"/>
      <c r="K1084" s="76"/>
    </row>
    <row r="1085" spans="1:11" ht="12.75">
      <c r="A1085" s="76"/>
      <c r="B1085" s="76"/>
      <c r="C1085" s="77"/>
      <c r="D1085" s="78"/>
      <c r="E1085" s="78"/>
      <c r="F1085" s="76"/>
      <c r="K1085" s="76"/>
    </row>
    <row r="1086" spans="1:11" ht="12.75">
      <c r="A1086" s="76"/>
      <c r="B1086" s="76"/>
      <c r="C1086" s="77"/>
      <c r="D1086" s="78"/>
      <c r="E1086" s="78"/>
      <c r="F1086" s="76"/>
      <c r="K1086" s="76"/>
    </row>
    <row r="1087" spans="1:11" ht="12.75">
      <c r="A1087" s="76"/>
      <c r="B1087" s="76"/>
      <c r="C1087" s="77"/>
      <c r="D1087" s="78"/>
      <c r="E1087" s="78"/>
      <c r="F1087" s="76"/>
      <c r="K1087" s="76"/>
    </row>
    <row r="1088" spans="1:11" ht="12.75">
      <c r="A1088" s="76"/>
      <c r="B1088" s="76"/>
      <c r="C1088" s="77"/>
      <c r="D1088" s="78"/>
      <c r="E1088" s="78"/>
      <c r="F1088" s="76"/>
      <c r="K1088" s="76"/>
    </row>
    <row r="1089" spans="1:11" ht="12.75">
      <c r="A1089" s="76"/>
      <c r="B1089" s="76"/>
      <c r="C1089" s="77"/>
      <c r="D1089" s="78"/>
      <c r="E1089" s="78"/>
      <c r="F1089" s="76"/>
      <c r="K1089" s="76"/>
    </row>
    <row r="1090" spans="1:11" ht="12.75">
      <c r="A1090" s="76"/>
      <c r="B1090" s="76"/>
      <c r="C1090" s="77"/>
      <c r="D1090" s="78"/>
      <c r="E1090" s="78"/>
      <c r="F1090" s="76"/>
      <c r="K1090" s="76"/>
    </row>
    <row r="1091" spans="1:11" ht="12.75">
      <c r="A1091" s="76"/>
      <c r="B1091" s="76"/>
      <c r="C1091" s="77"/>
      <c r="D1091" s="78"/>
      <c r="E1091" s="78"/>
      <c r="F1091" s="76"/>
      <c r="K1091" s="76"/>
    </row>
    <row r="1092" spans="1:11" ht="12.75">
      <c r="A1092" s="76"/>
      <c r="B1092" s="76"/>
      <c r="C1092" s="77"/>
      <c r="D1092" s="78"/>
      <c r="E1092" s="78"/>
      <c r="F1092" s="76"/>
      <c r="K1092" s="76"/>
    </row>
    <row r="1093" spans="1:11" ht="12.75">
      <c r="A1093" s="76"/>
      <c r="B1093" s="76"/>
      <c r="C1093" s="77"/>
      <c r="D1093" s="78"/>
      <c r="E1093" s="78"/>
      <c r="F1093" s="76"/>
      <c r="K1093" s="76"/>
    </row>
    <row r="1094" spans="1:11" ht="12.75">
      <c r="A1094" s="76"/>
      <c r="B1094" s="76"/>
      <c r="C1094" s="77"/>
      <c r="D1094" s="78"/>
      <c r="E1094" s="78"/>
      <c r="F1094" s="76"/>
      <c r="K1094" s="76"/>
    </row>
    <row r="1095" spans="1:11" ht="12.75">
      <c r="A1095" s="76"/>
      <c r="B1095" s="76"/>
      <c r="C1095" s="77"/>
      <c r="D1095" s="78"/>
      <c r="E1095" s="78"/>
      <c r="F1095" s="76"/>
      <c r="K1095" s="76"/>
    </row>
  </sheetData>
  <mergeCells count="3">
    <mergeCell ref="A3:E3"/>
    <mergeCell ref="C2:E2"/>
    <mergeCell ref="A1:E1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workbookViewId="0" topLeftCell="A1">
      <selection activeCell="F1" sqref="F1:I1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45.625" style="3" customWidth="1"/>
    <col min="6" max="6" width="6.25390625" style="3" customWidth="1"/>
    <col min="7" max="8" width="13.25390625" style="3" customWidth="1"/>
    <col min="9" max="9" width="13.00390625" style="3" customWidth="1"/>
    <col min="10" max="16384" width="8.875" style="3" customWidth="1"/>
  </cols>
  <sheetData>
    <row r="1" spans="1:9" ht="46.9" customHeight="1">
      <c r="A1" s="157" t="s">
        <v>66</v>
      </c>
      <c r="B1" s="157" t="s">
        <v>66</v>
      </c>
      <c r="C1" s="157" t="s">
        <v>66</v>
      </c>
      <c r="D1" s="157" t="s">
        <v>66</v>
      </c>
      <c r="E1" s="157" t="s">
        <v>66</v>
      </c>
      <c r="F1" s="327" t="s">
        <v>1097</v>
      </c>
      <c r="G1" s="327"/>
      <c r="H1" s="327"/>
      <c r="I1" s="327"/>
    </row>
    <row r="2" spans="1:9" ht="19.15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49.9" customHeight="1">
      <c r="A3" s="329" t="s">
        <v>445</v>
      </c>
      <c r="B3" s="329"/>
      <c r="C3" s="329"/>
      <c r="D3" s="329"/>
      <c r="E3" s="329"/>
      <c r="F3" s="329"/>
      <c r="G3" s="329"/>
      <c r="H3" s="329"/>
      <c r="I3" s="329"/>
    </row>
    <row r="4" spans="1:9" ht="63.6" customHeight="1">
      <c r="A4" s="332" t="s">
        <v>432</v>
      </c>
      <c r="B4" s="332" t="s">
        <v>433</v>
      </c>
      <c r="C4" s="332"/>
      <c r="D4" s="332"/>
      <c r="E4" s="333"/>
      <c r="F4" s="334" t="s">
        <v>434</v>
      </c>
      <c r="G4" s="334"/>
      <c r="H4" s="335" t="s">
        <v>402</v>
      </c>
      <c r="I4" s="336" t="s">
        <v>403</v>
      </c>
    </row>
    <row r="5" spans="1:9" ht="41.65" customHeight="1">
      <c r="A5" s="332" t="s">
        <v>432</v>
      </c>
      <c r="B5" s="161" t="s">
        <v>435</v>
      </c>
      <c r="C5" s="161" t="s">
        <v>436</v>
      </c>
      <c r="D5" s="161" t="s">
        <v>437</v>
      </c>
      <c r="E5" s="142" t="s">
        <v>438</v>
      </c>
      <c r="F5" s="158" t="s">
        <v>36</v>
      </c>
      <c r="G5" s="158" t="s">
        <v>439</v>
      </c>
      <c r="H5" s="335"/>
      <c r="I5" s="336"/>
    </row>
    <row r="6" spans="1:9" ht="23.25" customHeight="1">
      <c r="A6" s="161" t="s">
        <v>3</v>
      </c>
      <c r="B6" s="161" t="s">
        <v>77</v>
      </c>
      <c r="C6" s="161" t="s">
        <v>78</v>
      </c>
      <c r="D6" s="161" t="s">
        <v>79</v>
      </c>
      <c r="E6" s="142" t="s">
        <v>80</v>
      </c>
      <c r="F6" s="158" t="s">
        <v>81</v>
      </c>
      <c r="G6" s="158" t="s">
        <v>91</v>
      </c>
      <c r="H6" s="158">
        <v>8</v>
      </c>
      <c r="I6" s="158">
        <v>9</v>
      </c>
    </row>
    <row r="7" spans="1:9" ht="54.6" customHeight="1">
      <c r="A7" s="24" t="s">
        <v>140</v>
      </c>
      <c r="B7" s="162" t="s">
        <v>440</v>
      </c>
      <c r="C7" s="196">
        <v>43613</v>
      </c>
      <c r="D7" s="161">
        <v>200</v>
      </c>
      <c r="E7" s="215" t="s">
        <v>441</v>
      </c>
      <c r="F7" s="158" t="s">
        <v>38</v>
      </c>
      <c r="G7" s="10" t="s">
        <v>216</v>
      </c>
      <c r="H7" s="17">
        <f>' № 7  рп, кцср, квр'!E460</f>
        <v>36</v>
      </c>
      <c r="I7" s="17">
        <f>' № 7  рп, кцср, квр'!F460</f>
        <v>36</v>
      </c>
    </row>
    <row r="8" spans="1:9" ht="104.45" customHeight="1">
      <c r="A8" s="162" t="s">
        <v>67</v>
      </c>
      <c r="B8" s="162" t="s">
        <v>440</v>
      </c>
      <c r="C8" s="196">
        <v>42962</v>
      </c>
      <c r="D8" s="161">
        <v>109</v>
      </c>
      <c r="E8" s="215" t="s">
        <v>442</v>
      </c>
      <c r="F8" s="158" t="s">
        <v>53</v>
      </c>
      <c r="G8" s="158">
        <v>1240420390</v>
      </c>
      <c r="H8" s="17">
        <f>' № 7  рп, кцср, квр'!E550</f>
        <v>798.0999999999999</v>
      </c>
      <c r="I8" s="17">
        <f>' № 7  рп, кцср, квр'!F550</f>
        <v>798.1</v>
      </c>
    </row>
    <row r="9" spans="1:9" ht="62.45" customHeight="1">
      <c r="A9" s="162" t="s">
        <v>207</v>
      </c>
      <c r="B9" s="162" t="s">
        <v>440</v>
      </c>
      <c r="C9" s="196">
        <v>44005</v>
      </c>
      <c r="D9" s="161">
        <v>274</v>
      </c>
      <c r="E9" s="215" t="s">
        <v>443</v>
      </c>
      <c r="F9" s="158" t="s">
        <v>40</v>
      </c>
      <c r="G9" s="160">
        <v>1240220350</v>
      </c>
      <c r="H9" s="17">
        <f>' № 7  рп, кцср, квр'!E561</f>
        <v>107.1</v>
      </c>
      <c r="I9" s="17">
        <f>' № 7  рп, кцср, квр'!F561</f>
        <v>72</v>
      </c>
    </row>
    <row r="10" spans="1:9" ht="25.15" customHeight="1">
      <c r="A10" s="5" t="s">
        <v>444</v>
      </c>
      <c r="B10" s="165" t="s">
        <v>66</v>
      </c>
      <c r="C10" s="165" t="s">
        <v>66</v>
      </c>
      <c r="D10" s="165" t="s">
        <v>66</v>
      </c>
      <c r="E10" s="165" t="s">
        <v>66</v>
      </c>
      <c r="F10" s="216" t="s">
        <v>66</v>
      </c>
      <c r="G10" s="216" t="s">
        <v>66</v>
      </c>
      <c r="H10" s="217">
        <f>H7+H8+H9</f>
        <v>941.1999999999999</v>
      </c>
      <c r="I10" s="217">
        <f>I7+I8+I9</f>
        <v>906.1</v>
      </c>
    </row>
  </sheetData>
  <mergeCells count="7">
    <mergeCell ref="A3:I3"/>
    <mergeCell ref="A4:A5"/>
    <mergeCell ref="B4:E4"/>
    <mergeCell ref="F4:G4"/>
    <mergeCell ref="F1:I1"/>
    <mergeCell ref="H4:H5"/>
    <mergeCell ref="I4:I5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2022-04-07T10:49:28Z</cp:lastPrinted>
  <dcterms:created xsi:type="dcterms:W3CDTF">2007-11-30T05:39:28Z</dcterms:created>
  <dcterms:modified xsi:type="dcterms:W3CDTF">2022-05-11T14:03:40Z</dcterms:modified>
  <cp:category/>
  <cp:version/>
  <cp:contentType/>
  <cp:contentStatus/>
</cp:coreProperties>
</file>